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l Interno\Documents\ARCHIVOS FOMVIVIENDA\DOCUMENTOS 2024\Informes\Informes del Sistema de Control Interno\ISCI_II SEMESTRE_2023\"/>
    </mc:Choice>
  </mc:AlternateContent>
  <bookViews>
    <workbookView xWindow="-120" yWindow="-120" windowWidth="15600" windowHeight="9240" firstSheet="1" activeTab="1"/>
  </bookViews>
  <sheets>
    <sheet name="Instructivo" sheetId="2" state="hidden"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 name="_xlnm.Print_Area" localSheetId="2">'Análisis Resultados'!$C$6:$K$62</definedName>
    <definedName name="_xlnm.Print_Area" localSheetId="3">Conclusión!$B$3:$P$38</definedName>
    <definedName name="_xlnm.Print_Titles" localSheetId="1">'Estado SCI'!$14:$15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<sst xmlns="http://schemas.openxmlformats.org/spreadsheetml/2006/main" count="514" uniqueCount="244">
  <si>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</si>
  <si>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</si>
  <si>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</si>
  <si>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</si>
  <si>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</si>
  <si>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</si>
  <si>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</si>
  <si>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</si>
  <si>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</si>
  <si>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</si>
  <si>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</si>
  <si>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</si>
  <si>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</si>
  <si>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</si>
  <si>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</si>
  <si>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</si>
  <si>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</si>
  <si>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</si>
  <si>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</si>
  <si>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</si>
  <si>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</si>
  <si>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</si>
  <si>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</si>
  <si>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</si>
  <si>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</si>
  <si>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</si>
  <si>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</si>
  <si>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</si>
  <si>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</si>
  <si>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</si>
  <si>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</si>
  <si>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</si>
  <si>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</si>
  <si>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</si>
  <si>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</si>
  <si>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</si>
  <si>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</si>
  <si>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</si>
  <si>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</si>
  <si>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</si>
  <si>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</si>
  <si>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</si>
  <si>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</si>
  <si>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</si>
  <si>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</si>
  <si>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</si>
  <si>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</si>
  <si>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</si>
  <si>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</si>
  <si>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</si>
  <si>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</si>
  <si>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</si>
  <si>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</si>
  <si>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</si>
  <si>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</si>
  <si>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</si>
  <si>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</si>
  <si>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</si>
  <si>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</si>
  <si>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</si>
  <si>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</si>
  <si>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</si>
  <si>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</si>
  <si>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</si>
  <si>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</si>
  <si>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</si>
  <si>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</si>
  <si>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</si>
  <si>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</si>
  <si>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</si>
  <si>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</si>
  <si>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</si>
  <si>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</si>
  <si>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</si>
  <si>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</si>
  <si>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</si>
  <si>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</si>
  <si>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</si>
  <si>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</si>
  <si>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</si>
  <si>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</si>
  <si>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</si>
  <si>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</si>
  <si>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</si>
  <si>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</si>
  <si>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</si>
  <si>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</si>
  <si>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</si>
  <si>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</si>
  <si>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</si>
  <si>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</si>
  <si>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</si>
  <si>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</si>
  <si>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</si>
  <si>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</si>
  <si>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</si>
  <si>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</si>
  <si>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</si>
  <si>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</si>
  <si>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</si>
  <si>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</si>
  <si>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</si>
  <si>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</si>
  <si>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</si>
  <si>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</si>
  <si>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</si>
  <si>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</si>
  <si>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</si>
  <si>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</si>
  <si>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</si>
  <si>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</si>
  <si>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</si>
  <si>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</si>
  <si>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</si>
  <si>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</si>
  <si>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</si>
  <si>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</si>
  <si>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</si>
  <si>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</si>
  <si>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</si>
  <si>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</si>
  <si>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</si>
  <si>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</si>
  <si>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</si>
  <si>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</si>
  <si>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</si>
  <si>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</si>
  <si>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</si>
  <si>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</si>
  <si>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</si>
  <si>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</si>
  <si>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</si>
  <si>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</si>
  <si>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</si>
  <si>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</si>
  <si>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</si>
  <si>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</si>
  <si>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</si>
  <si>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</si>
  <si>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</si>
  <si>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</si>
  <si>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</si>
  <si>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</si>
  <si>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</si>
  <si>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</si>
  <si>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</si>
  <si>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</si>
  <si>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</si>
  <si>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</si>
  <si>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</si>
  <si>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</si>
  <si>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</si>
  <si>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</si>
  <si>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</si>
  <si>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</si>
  <si>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</si>
  <si>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</si>
  <si>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</si>
  <si>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</si>
  <si>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</si>
  <si>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</si>
  <si>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</si>
  <si>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</si>
  <si>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</si>
  <si>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</si>
  <si>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</si>
  <si>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</si>
  <si>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</si>
  <si>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</si>
  <si>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</si>
  <si>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</si>
  <si>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</si>
  <si>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</si>
  <si>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</si>
  <si>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</si>
  <si>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</si>
  <si>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</si>
  <si>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</si>
  <si>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</si>
  <si>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</si>
  <si>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</si>
  <si>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</si>
  <si>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</si>
  <si>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</si>
  <si>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</si>
  <si>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</si>
  <si>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</si>
  <si>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</si>
  <si>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</si>
  <si>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</si>
  <si>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 xml:space="preserve">Conforme al Decreto 943 de mayo 21 de 2014, se encuentra implementado el Modelo Estandar de Control Interno MECI, se viene realizando actualización parcial de algunos componentes y elementos acorde al contexto y realidad actual de la entidad. </t>
  </si>
  <si>
    <t>La Entidad en cada vigencia a corte 31 de enero actualiza y ajusta los Planes Institucionales y Estratégicos, los cuales se publican en la página institucional 
A continuación el link: 
https://fomvivienda.gov.co/documentos-publicos/planes-institucionales-y-estrategicos-decreto-612-de-2018
Asi mismo, se elabora el Plan de Acción por el años 2023, al cual se hace seguimiento de ejecución trimestralmente en los meses de marzo, junio, septiembre y diciembre el Plan de Acción institucional en coherencia con el Plan de Desarrollo de la Alcaldia de Armenia segun directrices y lineamientos institucionales, al igual que en cumplimiento de los objetivos y politicas en materia de vivienda de los Gobiernos Nacional y Municipal.</t>
  </si>
  <si>
    <t>Se cuenta con (6) Mapas de Procesos y Procedimientos de la entidad,con última actualización en el segundo semestre del año 2022, así, como con documentos normalizados publicados segun la Ley de Transparencia. 
A cobntinuación los links:
https://fomvivienda.gov.co/151-procesos-y-procedimientos
https://www.fomvivienda.gov.co/planeacion-y-ejecucion/calidad.</t>
  </si>
  <si>
    <t>La Empresa de Fomento de Vivienda de Armenia-FOMVIVIENDA en cumplimiento del marco normativo que la rige, se compone:
Tres (3) funcionarios de Libre Nombramiento y Remoción: Gerente, Directora Adtva y Financiera y Asesor Juridico
Uno (1) de periodo fijo: Asesor de Control Interno
Uno (1) trabajador oficial: Profesional especializado</t>
  </si>
  <si>
    <t>Conforme a las resoluciones No. 016 de enero 31 de 2023, se adoptó el Plan Institucional de Capacitaciones y  con la resolución No. 022 de enero 31 de 2023, se adoptó el Plan de Bienestar Social e Incentivos. 
Las actividades ejecutadas en la vigencia estan soportadas y documentadas en las respectivas carpetas e informes de los contratistas que prestaron servicios en la empresa.</t>
  </si>
  <si>
    <t>Cuando por necesidades del servicio se requiere, a traves del Acta Informe de Gestión, conforme a la Ley 951 de 2005 y expediente de cada funcionario o ex funcionario, se evidencia el cumplimiento de esta disposicion cuando aplica.</t>
  </si>
  <si>
    <t>La Empresa de Fomento de Vivienda de Armenia participa activamente en las jornadas de rendicion de cuentas que realiza la Administracion Municipal de Armenia al concluir cada vigencia, como es en la audiencia pública de rendición de cuentas donde se socializa a los participantes la información respecto a las obras y proyectos que se adelantan en beneficio de la ciudad y sus habitantes, asi como en los dialogos y reuniones con la comunidad que efectua el Alcalde y su gabinete. 
Esta información se puede ser consultar en la pagina web institucional  www.fomvivienda.gov.co, sección de noticias.</t>
  </si>
  <si>
    <t>Se evidencia en los archivos de gestion el cumplimiento en los terminos y condiciones de entrega de los informes solicitados por los diferentes Entes de Control en el primer semestre de 2023, tales como: Contraloria General de la Republica, Procuraduria General de la Nacion, Contaduria General de la Nacion, Defensoria del Pueblo, Personeria Municipal, Contraloria Municipal, Concejo Municipal, Consejo Territorial de Planeacion, Despacho del Alcalde, Departamento Administrativo de Planeacion y demas entidades del orden nacional, departamental y municipal.</t>
  </si>
  <si>
    <t>La Entidad adoptó el Código de Integridad por medio de la Resolución 348 del 21/12/2017.
A traves del Plan Anticorrupcion y Atencion al Ciudadano - PAAC de la vigencia 2023 adoptado conforme a la resolución N.20 de enero 31 2023, se adelanta  un plan que especifica el cronograma de actividades encaminadas a la adopción de principios inctitucionales y valores del servicio al ciudadano.
https://fomvivienda.gov.co/images/PLAN_ANTICORRUCION.pdf</t>
  </si>
  <si>
    <t>La emprea cuenta con el Plan Anticorrupcion y Atencion al Ciudadano - PAAC de la vigencia 2023 adoptado conforme a la resolución N.20 de enero 31 2023. A continuación el link:
https://fomvivienda.gov.co/images/PLAN_ANTICORRUCION.pdf</t>
  </si>
  <si>
    <t>Fomvivienda tiene identificados los posibles riesgos tecnológicos que se puedan presentar, para lo cual ha implementado la Matriz de Riesgo Digital la cual esta publicada en la página web institucional.
https://fomvivienda.gov.co/images/Matriz_de_Riesgos_Digital_-_FOMVIVIENDA.pdf</t>
  </si>
  <si>
    <t xml:space="preserve">A traves de Actas de Reunion periodicas con los lideres de procesos y del Comité Institucional de Coordinación de Control Interno se evaluan los posibles riesgos que puedan afectar la gestion de los procesos. </t>
  </si>
  <si>
    <t xml:space="preserve">Una vez se presenta el informe de seguimiento por parte de la oficina Asesora de Control Interno, se hacen las observaciones y recomendaciones a cada lider de proceso para que efectue según su competencia los ajustes pertinentes si lo considera necesario. </t>
  </si>
  <si>
    <t>Se definen acciones de mejora segun los resultados que se presentan en los informes de las Auditorías por parte de los Entes de Control, así como de las auditorias Internas de Gestion  y de los seguimientos  periodicos que se presentan a la Gerencia y a cada lider de proceso atendiendo el cronograma de actividaes para la vigencia.</t>
  </si>
  <si>
    <t>A traves del Plan Anticorrupcion y Atencion al Ciudadano - PAAC de la vigencia 2023 adoptado conforme a la resolución N.20 de enero 31 2023, la entidad da cumplimiento a la Estrategia Anticorrupcion segun lineamientos de la Secretaria de Transparencia del Gobierno Nacional. 
El avance de este seguimiento con las recomendaciones de la oficina Asesora de Control Interno esta publicado cuatrimestralmente en la página web institucional.</t>
  </si>
  <si>
    <t>La Gerente General en primera instancia y según su competencia, cada lider de proceso en la entidad es responsable de la información que genera y con el apoyo del area de sistemas se difunde a la ciudadania y partes interesadas, a traves de los canales de informacion establecidos: pagina web, redes sociales (facebook, istagram, twiter, tic took), intranet, boletines).</t>
  </si>
  <si>
    <t>Los canales establecidos para la comunicación con los ciudadanos son: el chat de la página web institucional, intranet, redes sociales, boletines.</t>
  </si>
  <si>
    <t>Los canales para reporte de información a los entes externos son los correos institucionales, boletines, plataforma SIA OBSERVA, SECOP, Rendicion Electronica de la Cuenta, SUIT, CHIP contable, Sigep, Audiencias Publicas de Rendicion de Cuentas, Informes de Gestion, jornadas de acompañamiento a la administracion municipal, entre otros.</t>
  </si>
  <si>
    <t xml:space="preserve">En la plataforma intranet se tiene un tratamiento especial para la información reservada suministrada por la ciudadanía, según los procedimientos internos establecidos. Existe un protocolo para el manejo de la informacion a traves de las PQRS, donde se filtra el destinatario, los terminos y traslado de la respuesta. </t>
  </si>
  <si>
    <t>Conforme a la Resolución N.015 de enero 31 de 2023, la entidad adopta por la vigencia 2023 el  Plan Estratégico de Tecnológias de la Información PETI, para soporte de la gestion
A continuación el link: https://fomvivienda.gov.co/images/PLAN_ESTRATEGICO_DE_TECNOLOGIAS_DE_LA_INFORMACION.pdf</t>
  </si>
  <si>
    <t>La entidad cuenta con un calendario de actividades y presentación de informes aprobado para la vigencia 2023,  conforme al Acta No.01 de febreo 3 de 2023 del Comite Institucional de Coordinacion de Control Interno, en cumplimiento del  seguimiento y cumplimiento oportuno de informes y actividades a las diferentes entidades y Organismos de Control. Publicado para consulta de las partes interesadas en la página web institucional.</t>
  </si>
  <si>
    <t>La entidad durante el primer semestre de la vigencia 2023, realizò seguimientos a los planes de mejoramiento suscritos en la vigencia de 2022 a partir de las observaciones y hallazgos detectados en las auditorías externas e internas, como también adelanta las audiotiras conforme al Plan Anual de Auditorias para la misma vigencia,  para verificar el avance y cumplimiento de las acciones de mejora implementadas se presenta informes a la Gerencia y dependencias involucradas  para la adopcion oportuna de acciones correctivas y la toma de decisiones.</t>
  </si>
  <si>
    <t>La Oficina Asesora de Control Interno durante el primer semestre de la vigencia 2023 realizo seguimiento a las acciones de mejoramiento establecidas con los entes de control y resultantes de auditorias internas de gestión, publicadas en la página web institucional: https://fomvivienda.gov.co/publicaciones-control-interno/planes-de-mejoramiento/394-seguimiento-plan-de-mejoramiento-auditoria-modalidad-regular</t>
  </si>
  <si>
    <t>EMPRESA DE FOMENTO DE VIVIENDA DE ARMENIA "FOMVIVIENDA"</t>
  </si>
  <si>
    <t>Las actividades ejecutadas por los líderes de los procesos por le primer trimestre de la vigencia 2023 liderados por la Gerencia y con el acompañamiento permanente de la Oficina Asesora de Control Interno contribuyen para que la Entidad cumpla satisfactoriamente con los planes y objetivos institucionales, facilita laidentificación de los riesgos, controles y mecanismos de prevencion, al igual que para la planeacion y toma de decisiones.
Sin embargo, se recomienda continuar con la actualización de las Matrices de Riesgo en los procesos que se considere ajustarlos a la realidad actual, contexto institucional y normatividad vigente. 
Se resalta que Fomvivienda tiene implementadas todas las dimensiones que componen el Modelo Integrado de Planeación y Gestión MIPG, asi como el Modelo Estándar de Control Interno MECI, con sus 5 componentes que operan de una manera articulada.</t>
  </si>
  <si>
    <t>El Sistema de Control Interno en la Entidad ha facilitado la implementación de instrumentos de control y seguimiento para el cumplimiento de metas y objetivos institucionales definidos en el Plan de Accion de la vigencia en coherencia con el Plan de Desarrollo del municipio de Armenia. 
Las acciones de mejora suscritas como resultado de las auditorias y recomendaciones de los Entes de Control y oficina Asesora de Control Interno permiten optimizar el Sistema de Control Interno y avanzar en el grado de cumplimiento de las demandas y necesidades de los diferentes grupos de interés y de valor.</t>
  </si>
  <si>
    <t xml:space="preserve">Las lineas de defensa que tiene adoptada la Empresa de Fomento de Vivienda de Armenia  -Fomvivienda, ha permitido optimizar la gestion de riesgos y controles, logrando una mayor participacion y compromiso de todos los servidores de la Entidad en el desarrollo y madurez del Sistema de Control Interno, segun los roles y competencias asignados a cada una.
La información generada en la ejecución de las actividades ha contribuido a la toma de decisiones por la Direccion,  asi como a la mejora continua y la atencion de los requerimientos de los clientes externos e internos.
</t>
  </si>
  <si>
    <t>Con respecto al componente Evaluacion del Riesgo se encuentran identificados los posibles riesgos que puedan afectar el cumplimiento de los objetivos institucionales, sin embargo se recomienda continuar actualizando las Matrices de Riesgos ajustandolas al contexto y realidad actual de la entidad para que faciliten el control efectivo de los eventos adversos que puedan afectar el Sistema de Gestion.</t>
  </si>
  <si>
    <t>El componente Actividades de Control evidencia que los procedimientos e instrumentos adoptados por la entidad para controlar y mitigar los riesgos que amenazan el cumplimiento de los objetivos institucionales continua siendo efectivo, el compromiso de los lideres de los procesos en FOMVIVIENDA es fundamental para el cumplimiento de las actividades propuestas.
 Se recomienda para un mayor avance en el logro de metas conseguir que los demas servidores de la entidad se comprometan en mayor proporcion y asi obtener el mejoramiento continuo de todos los procesos de la Entidad.</t>
  </si>
  <si>
    <t>Respecto al componente Informacion y Comunicacion, se observa que el flujo de información al interior y exterior de la Entidad es efectivo y facilita su difusion a todos los niveles y partes interesadas, sin embargo, se recomienda desarrollar canales que garantice que la informacion que genera la entidad fluya adecuadamente hasta lograr el objetivo de la misma, igual situacion se presenta  con la información de caracter reservada segun los estandares que exige la Ley deTransparencia y Acceso a la Informacion Publica y el tratamiento de datos.</t>
  </si>
  <si>
    <t>En las Actividades de Monitoreo que tiene implementadas la Empresa de Fomento de Vivienda - FOMVIVIENDA, para la evaluación de la gestión, se observa un adecuado seguimiento, se continuan aplicando medidas preventivas y correctivas que minimizan los riesgos para  el cumplimiento de la gestion y de los objetivos establecidos en los planes y programas institucionales en cada vigencia.
Se recomienda continuar realizando el monitoreo de todos los riesgos que se puedan presentar y materializar en la Entidad en el desarrollo de su gestion y que pueden afectar el logro de los objetivos y metas establecidas en los planes de accion.</t>
  </si>
  <si>
    <t>En FOMVIVIENDA se dispone de herramientas que le permiten lograr el cumplimiento de los objetivos institucionales, tales como la aplicación del Modelo Integrado de Planeación y Gestión MIPG y el Modelo Estandar de Control Interno-MECI,  que buscan el mejoramiento continuo de la gestion, se recomienda seguir con la socializacion permanente a todos los funcionarios y contratistas con el fin de lograr un mayor compromiso y adherencia con los objetivos y metas establecidas para cada vigencia.
Las actividades suscritas y  priorizadas en el Plan de Gestion Territorial-PGT de la vigencia como resultado del Autodiagnostico de la medicion  del Indice de Desempeño Institucional a traves del Formulario Unico de Reporte de Avance de Gestión FURAG de la vigencia anterior, permitiran seguramente mejorar los resultados en cada vigencia.</t>
  </si>
  <si>
    <t xml:space="preserve">Se cuenta con un organigrama aprobado por la Junta Directiva y esta publicado en la página institucional https://www.fomvivienda.gov.co/institucional/organigrama, donde se puede visibilizar la estructura organizacional de la Empresa.
</t>
  </si>
  <si>
    <t>Conforme al Acuerdo 617 de 2018 de la Comision Nacional del Servicio Civil, debido a que FOMVIVIENDA no cuenta con funcionarios de carrera administrativa y en calidad de provisionales, no se realiza la evaluación del desempeño a los servidores públicos.</t>
  </si>
  <si>
    <t>La Empresa cuenta con matrices de riesgo por proceso, donde se identifican posibles eventos internos y externos que puedan afectar la gestion.
Se actualizao la matriz de riesgos de la entidad como las hojas de vidad de los mismos, sin embargo se recomienda el seguimiento trimestral a las acciones para mitigarlos.</t>
  </si>
  <si>
    <t>La entidad culminó la actualizaciòn de la matriz de riesgo por proceso, donde se identifican posibles eventos internos y externos que puedan afectar la gestion, como tambien se alimentaron las hojas de vidad de cada uno, sin embargo se recomienda el seguimiento trimestral a las acciones para mitigarlos porque se observa ausencia de esta instancia.</t>
  </si>
  <si>
    <t xml:space="preserve">La entidad culminó la actualizaciòn de la matriz de riesgo por proceso, donde se identifican posibles eventos internos y externos que puedan afectar la gestion, como tambien se alimentaron las hojas de vidad de cada uno, sin embargo se recomienda el seguimiento trimestral a las acciones para mitigarlos porque se observa ausencia de esta instancia.
</t>
  </si>
  <si>
    <t xml:space="preserve">Se adoptó el Manual de Funciones mediante Acuerdo 004 del 28/02/2013,  adicionalmente mediante Acuerdo de Junta 008 del 11/09/2020 se actualizó el Manual de Funciones en lo que corresponde a las competencias laborales y requisitos como lo establece el Decreto Nacional 989 del 09/07/2020.
</t>
  </si>
  <si>
    <t>Durante los seguimientos que realiza la oficina Asesora de Control Interno a la gestión de los riesgos en FOMVIVIENDA, se identifican oportunidades de mejora para minimizar, reducir o transferir los riesgos identificados en cada proceso, se sugieren ajustes cuando aplica. 
Se recomientda que el seguimiento de control interno sea de manera semestral y no anual  como se venía haciendo.</t>
  </si>
  <si>
    <t>Lla Entidad cuenta con formatos y matrices para el seguimiento periódico de los riesgos identificados por proceso, además mediante actas de reunión con los lideres de procesos se solicita y socializa la información con respecto a los posibles riesgos, lo cual se evidencia en Informe de Segumiento anual a  las Matrices de Riesgos y Controles y en Informe de Seguimiento al Plan Anticorrupcion y Atencion al Ciudadano, que se publica en la página web institucional www.fomvivienda.gov.co. link Atención  al Ciudadano - Estrategia Anticorrupción (Seguimiento Plan Anticorrupción), los cuales tambien se presentan a la Gerencia para los fines pertinentes.
 Son embargo. en cuanto a las matriz de riesgos y gestión se  observa ausencia de seguimiento, así como en el cronograma de seguimiento y evaluación se recomientda el seguimiento de control interno sea de manera semestral y no anual  como se venía haciendo.</t>
  </si>
  <si>
    <t>Al termino de la vigencia se realiza segumiento a las Matrices de Riesgos y Controles por proceso y cada cuatrimestre se mide la aejecución del Plan Anticorrupcion y Atencion al Ciudadano, los informes de seguimiento se archivan en los expedientes documentales de cada vigencia y se publican en la página web institucional de la entidad. Igualmente se presenta informe a la Gerencia.
Sin embargo, si bien es cierto, se cuenta con la matriz de riesgos y sus hojas de vida, se recomienda el seguimiento trimestral a las acciones para mitigarlos porque se observa ausencia de esta instancia, así como en el cronograma de seguimiento y evaluación el seguimiento de control interno se recomienda sea de manera semestral y  no anual  como se venía haciendo.</t>
  </si>
  <si>
    <t>A traves de los seguimientos periodicos que realiza la oficina Asesora de Control Interno se verifican las mediciones a la aplicación de los controles a las matrices de riesgos, cuando es pertinente se efectuan recomendaciones para que se adelanten acciones y planes de mejoramiento por cada proceso;  sin embargo,  se recomienda según informe de seguimiento anual a la matriz de riesgos, conforme al crongrama de "Sequimiento y Evaluación", este seguimineto se haga de manera peródica dentro de la vigencia, pudiendo ser de manera semestral, asì como la entidad debe hacer trimestralmente el seguimiento que le corresponde.</t>
  </si>
  <si>
    <t>Las matrices de riesgo de los  procesos que componen el Sistema ds Gestion de la entidad, cuentan con controles definidos para mitigar la probabilidad o impacto de ocurrencia de los riesgos identificados, al igual que en el Plan Anticorrupción y Atencion al Ciudadano, sin embargo,  se recomienda según informe de seguimiento anual a la matriz de riesgos, conforme al crongrama de "Sequimiento y Evaluación", este seguimineto se haga de manera peródica dentro de la vigencia, pudiendo ser de manera semestral, asì como la entidad debe hacer trimestralmente el seguimiento que le corresponde.</t>
  </si>
  <si>
    <t xml:space="preserve">La entidad culminó la actualizaciòn de la matriz de riesgo por proceso, donde se identifican posibles eventos internos y externos que puedan afectar la gestion, como tambien se alimentaron las hojas de vidad de cada uno, sin embargo se recomienda el seguimiento trimestral por parte de la entidad a las acciones para mitigarlos porque se observa ausencia de esta instancia, así como modificar el cronograma de "Seguimiento y Evaluación" para que le seguimiento de Control Interno sea de manera semestral.
</t>
  </si>
  <si>
    <t xml:space="preserve">En cumplimiento a  la Ley deTransparencia y Derecho de Acceso a la Información Pública- Ley 1712 de 2014, se publica la información que genera la entidad para consulta de la ciudadanía y Entes de Control. 
En atención a la auditoria interna de gestion realizada en el primer trimestre de 2022 y la auditoria ITA en el tercer trimestre a la pagina web institucional, se ha avanzado en un 84% de los planes de mejoramiento al respecto </t>
  </si>
  <si>
    <t xml:space="preserve">La Empresa de Fomento de Vivienda de Armenia tiene identificada la información necesaria para su normal operación, la cual reposa en la página web institucional https://www.fomvivienda.gov,co. 
Se recomienda su continua actualizacion conforme a las novedades y requerimientos que se presenten.   </t>
  </si>
  <si>
    <t>La entidad cuenta en la planta de personal con un Asesor de Control Interno que debe cumplir con los requisitos y perfiles exigidos para el cargo, este profesional realiza evaluación permanente al Estado del Sistema de Control Interno a través de seguimientos y auditorías a la gestion. 
De igual manera la evaluacion de la gestion mediante el diligenciamiento anual del Formulario Único de Reporte de Avance de la Gestión - FURAG, sirve para medir el grado de avance del Sistema de Control Interno, en todas las Dimensiones y Politicas que componen el Modelo Integrado de Planeacion y Gestion- MIPG.</t>
  </si>
  <si>
    <t>En atencion a lo dispuesto en el Decreto 648 de 2017, el municipio de Armenia conformó desde la vigencia 2018 el Comité Municipal de Auditorias, con la participacion de los responsables de las oficinas de control interno del nivel central y descentralizado de la Administracion, entre ellos el Asesor de Control Interno de Fomvivienda. Se evidencia la participacion y actividades realizadas en el transcurso del año 2023, soportado mediante actas de reunion y listados de asistencia, donde se trataron los temas relacionados con el control interno y la gestion.</t>
  </si>
  <si>
    <t>La entidad mediante el Plan Anticorrupción y Atención al Ciudadana, las matrices de riesgos y su respectivo seguimiento, como la ejecución de los procesos acatando los controles identificados en al caracterización de los mismos, se busca evitar la materialización de riesgos, minimizando su ocurrencia de tal forma que no afectaron el cumplimiento de la gestion y objetivos institucionales.
Se recomienda ajustar el cronograma de "Seguimiento y Evaluación" acorde a las prioridades de atención de la entidad para el año 2024.</t>
  </si>
  <si>
    <t>La entidad a través de la aplicación de controles ha logrado evitar la materialización de los riesgos identificados en las diferentes matrices, minimizando la ocurrencia de problemas que afecten la gestion institucional. Sin embargo la actualizando de las matrices de riesgos durante la vigencia 2023 se ajsutarosn durante el año y se observó ausencia de seguimiento de la entidad durante la misma, además, el seguimiento de estas matrices por parte de Control Irterno durante del año en el cronogra estuvo para hacerse anual, recomendado ajustarse para que se realice semestral.</t>
  </si>
  <si>
    <t xml:space="preserve">El tratamiento y seguimiento permanente a los riesgos a traves de las Matrices de Riesgos y Controles establecidos por la entidad y del Plan Anticorrupción y Atencion al Ciudadanao-PAAC, minimizo la materializacion de riesgos contibuyendo al cumplimiento efectivo de los objetivos institucionales.
Sin embargo se recomienda que el seguimiento a las matrices de riesgos de gestión, quede semestral en el cronograma de "Seguimiento y Evaluación" para la vigencia 2024.
</t>
  </si>
  <si>
    <t>Mediante las Matrices de Riesgos y Controles establecidos, al igual que el Plan Anticorrupción y Atencion al Ciudadanao-PAAC, se efectua seguimiento permanente a los riesgos para que no se materializen y se pueda cumplir efectivamente con los objetivos fijados por la entidad en sus diferentes planes y proyectos.
Sin embargo se recomienda que el seguimiento a las matrices de riesgos de gestión, quede semestral en el cronograma de "Seguimiento y Evaluación" para la vigencia 2024.</t>
  </si>
  <si>
    <t xml:space="preserve">Se ejecutaron las acciones implementadas por la entidad para controlar, minimizar y reducir la materializacion de los riesgos identificados en cada proceso.  </t>
  </si>
  <si>
    <t>01 DE JULIO DE 2023 AL 31 DE 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</si>
</sst>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0"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4"/>
      <name val="Arial"/>
      <family val="2"/>
    </font>
    <font>
      <sz val="14"/>
      <color theme="1"/>
      <name val="Arial"/>
      <family val="2"/>
    </font>
    <font>
      <sz val="16"/>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1">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43" fillId="0" borderId="4"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36" fillId="0" borderId="9" xfId="0" applyFont="1" applyFill="1" applyBorder="1" applyAlignment="1" applyProtection="1">
      <alignment horizontal="left" vertical="center" wrapText="1"/>
      <protection locked="0"/>
    </xf>
    <xf numFmtId="0" fontId="36" fillId="0" borderId="80" xfId="0" applyFont="1" applyFill="1" applyBorder="1" applyAlignment="1" applyProtection="1">
      <alignment horizontal="left" vertical="center" wrapText="1"/>
      <protection locked="0"/>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0" fontId="44" fillId="10" borderId="12" xfId="0"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3" xfId="0" applyFont="1" applyFill="1" applyBorder="1" applyAlignment="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0" borderId="84" xfId="1" applyFont="1" applyFill="1" applyBorder="1" applyAlignment="1" applyProtection="1">
      <alignment horizontal="center" vertical="center"/>
      <protection hidden="1"/>
    </xf>
    <xf numFmtId="9" fontId="28" fillId="0" borderId="85" xfId="1" applyFont="1" applyFill="1" applyBorder="1" applyAlignment="1" applyProtection="1">
      <alignment horizontal="center" vertical="center"/>
      <protection hidden="1"/>
    </xf>
    <xf numFmtId="9" fontId="28" fillId="0"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9" fillId="4" borderId="2" xfId="0" applyNumberFormat="1" applyFont="1" applyFill="1" applyBorder="1" applyAlignment="1" applyProtection="1">
      <alignment horizontal="left" vertical="top" wrapText="1"/>
      <protection locked="0"/>
    </xf>
    <xf numFmtId="49" fontId="59" fillId="4" borderId="84" xfId="0" applyNumberFormat="1" applyFont="1" applyFill="1" applyBorder="1" applyAlignment="1" applyProtection="1">
      <alignment horizontal="left" vertical="top" wrapText="1"/>
      <protection locked="0"/>
    </xf>
    <xf numFmtId="49" fontId="59" fillId="4" borderId="3" xfId="0" applyNumberFormat="1" applyFont="1" applyFill="1" applyBorder="1" applyAlignment="1" applyProtection="1">
      <alignment horizontal="left" vertical="center" wrapText="1"/>
      <protection locked="0"/>
    </xf>
    <xf numFmtId="49" fontId="59" fillId="4" borderId="85" xfId="0" applyNumberFormat="1" applyFont="1" applyFill="1" applyBorder="1" applyAlignment="1" applyProtection="1">
      <alignment horizontal="left" vertical="center" wrapText="1"/>
      <protection locked="0"/>
    </xf>
    <xf numFmtId="49" fontId="59" fillId="4" borderId="4" xfId="0" applyNumberFormat="1" applyFont="1" applyFill="1" applyBorder="1" applyAlignment="1" applyProtection="1">
      <alignment horizontal="left" vertical="center" wrapText="1"/>
      <protection locked="0"/>
    </xf>
    <xf numFmtId="49" fontId="59" fillId="4" borderId="86" xfId="0" applyNumberFormat="1" applyFont="1" applyFill="1" applyBorder="1" applyAlignment="1" applyProtection="1">
      <alignment horizontal="left" vertical="center" wrapText="1"/>
      <protection locked="0"/>
    </xf>
    <xf numFmtId="0" fontId="58" fillId="0" borderId="24" xfId="0" applyFont="1" applyBorder="1" applyAlignment="1" applyProtection="1">
      <alignment horizontal="left" vertical="center" wrapText="1"/>
      <protection locked="0"/>
    </xf>
    <xf numFmtId="0" fontId="58" fillId="0" borderId="1" xfId="0" applyFont="1" applyBorder="1" applyAlignment="1" applyProtection="1">
      <alignment horizontal="left" vertical="center" wrapText="1"/>
      <protection locked="0"/>
    </xf>
    <xf numFmtId="0" fontId="58" fillId="0" borderId="25" xfId="0" applyFont="1"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protection locked="0"/>
    </xf>
    <xf numFmtId="0" fontId="57" fillId="0" borderId="25" xfId="0" applyFont="1" applyFill="1" applyBorder="1" applyAlignment="1" applyProtection="1">
      <alignment horizontal="left" vertical="center"/>
      <protection locked="0"/>
    </xf>
    <xf numFmtId="0" fontId="0" fillId="0" borderId="73" xfId="0" applyBorder="1" applyAlignment="1">
      <alignment horizontal="center"/>
    </xf>
    <xf numFmtId="0" fontId="48" fillId="0" borderId="1" xfId="0" applyFont="1" applyBorder="1" applyAlignment="1">
      <alignment horizontal="center"/>
    </xf>
    <xf numFmtId="0" fontId="46" fillId="0" borderId="3" xfId="0" applyFont="1" applyFill="1" applyBorder="1" applyAlignment="1">
      <alignment horizontal="left" vertical="center" wrapText="1"/>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567533</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55290</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B1" zoomScale="130" zoomScaleNormal="130" workbookViewId="0">
      <selection activeCell="G18" sqref="G18"/>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64" t="s">
        <v>0</v>
      </c>
      <c r="C2" s="165"/>
      <c r="D2" s="165"/>
      <c r="E2" s="165"/>
      <c r="F2" s="165"/>
      <c r="G2" s="165"/>
      <c r="H2" s="166"/>
    </row>
    <row r="3" spans="2:8" ht="65.25" customHeight="1" x14ac:dyDescent="0.2">
      <c r="B3" s="167" t="s">
        <v>1</v>
      </c>
      <c r="C3" s="168"/>
      <c r="D3" s="168"/>
      <c r="E3" s="168"/>
      <c r="F3" s="168"/>
      <c r="G3" s="168"/>
      <c r="H3" s="169"/>
    </row>
    <row r="4" spans="2:8" ht="82.5" customHeight="1" x14ac:dyDescent="0.2">
      <c r="B4" s="167"/>
      <c r="C4" s="168"/>
      <c r="D4" s="168"/>
      <c r="E4" s="168"/>
      <c r="F4" s="168"/>
      <c r="G4" s="168"/>
      <c r="H4" s="169"/>
    </row>
    <row r="5" spans="2:8" ht="21.75" customHeight="1" x14ac:dyDescent="0.2">
      <c r="B5" s="170" t="s">
        <v>2</v>
      </c>
      <c r="C5" s="171"/>
      <c r="D5" s="171"/>
      <c r="E5" s="171"/>
      <c r="F5" s="171"/>
      <c r="G5" s="171"/>
      <c r="H5" s="172"/>
    </row>
    <row r="6" spans="2:8" ht="42" customHeight="1" x14ac:dyDescent="0.2">
      <c r="B6" s="173" t="s">
        <v>3</v>
      </c>
      <c r="C6" s="174"/>
      <c r="D6" s="174"/>
      <c r="E6" s="174"/>
      <c r="F6" s="174"/>
      <c r="G6" s="174"/>
      <c r="H6" s="175"/>
    </row>
    <row r="7" spans="2:8" ht="14.25" customHeight="1" x14ac:dyDescent="0.2">
      <c r="B7" s="173"/>
      <c r="C7" s="174"/>
      <c r="D7" s="174"/>
      <c r="E7" s="174"/>
      <c r="F7" s="174"/>
      <c r="G7" s="174"/>
      <c r="H7" s="175"/>
    </row>
    <row r="8" spans="2:8" ht="12.75" customHeight="1" thickBot="1" x14ac:dyDescent="0.25">
      <c r="B8" s="57"/>
      <c r="C8" s="51"/>
      <c r="D8" s="67"/>
      <c r="E8" s="68"/>
      <c r="F8" s="68"/>
      <c r="G8" s="65"/>
      <c r="H8" s="66"/>
    </row>
    <row r="9" spans="2:8" ht="21" customHeight="1" thickTop="1" x14ac:dyDescent="0.2">
      <c r="B9" s="57"/>
      <c r="C9" s="176" t="s">
        <v>4</v>
      </c>
      <c r="D9" s="177"/>
      <c r="E9" s="178" t="s">
        <v>5</v>
      </c>
      <c r="F9" s="179"/>
      <c r="G9" s="51"/>
      <c r="H9" s="59"/>
    </row>
    <row r="10" spans="2:8" ht="37.5" customHeight="1" x14ac:dyDescent="0.2">
      <c r="B10" s="57"/>
      <c r="C10" s="180" t="s">
        <v>6</v>
      </c>
      <c r="D10" s="181"/>
      <c r="E10" s="182" t="s">
        <v>7</v>
      </c>
      <c r="F10" s="183"/>
      <c r="G10" s="51"/>
      <c r="H10" s="59"/>
    </row>
    <row r="11" spans="2:8" ht="39.75" customHeight="1" x14ac:dyDescent="0.2">
      <c r="B11" s="57"/>
      <c r="C11" s="184" t="s">
        <v>8</v>
      </c>
      <c r="D11" s="185"/>
      <c r="E11" s="186" t="s">
        <v>9</v>
      </c>
      <c r="F11" s="187"/>
      <c r="G11" s="51"/>
      <c r="H11" s="59"/>
    </row>
    <row r="12" spans="2:8" ht="59.25" customHeight="1" x14ac:dyDescent="0.2">
      <c r="B12" s="57"/>
      <c r="C12" s="184" t="s">
        <v>10</v>
      </c>
      <c r="D12" s="185"/>
      <c r="E12" s="188" t="s">
        <v>11</v>
      </c>
      <c r="F12" s="189"/>
      <c r="G12" s="51"/>
      <c r="H12" s="59"/>
    </row>
    <row r="13" spans="2:8" ht="33.75" customHeight="1" x14ac:dyDescent="0.2">
      <c r="B13" s="57"/>
      <c r="C13" s="194" t="s">
        <v>12</v>
      </c>
      <c r="D13" s="195"/>
      <c r="E13" s="186" t="s">
        <v>13</v>
      </c>
      <c r="F13" s="187"/>
      <c r="G13" s="51"/>
      <c r="H13" s="59"/>
    </row>
    <row r="14" spans="2:8" ht="19.5" customHeight="1" x14ac:dyDescent="0.2">
      <c r="B14" s="57"/>
      <c r="C14" s="63"/>
      <c r="D14" s="63"/>
      <c r="E14" s="64"/>
      <c r="F14" s="64"/>
      <c r="G14" s="51"/>
      <c r="H14" s="59"/>
    </row>
    <row r="15" spans="2:8" ht="37.5" customHeight="1" thickBot="1" x14ac:dyDescent="0.25">
      <c r="B15" s="190" t="s">
        <v>14</v>
      </c>
      <c r="C15" s="191"/>
      <c r="D15" s="191"/>
      <c r="E15" s="191"/>
      <c r="F15" s="191"/>
      <c r="G15" s="191"/>
      <c r="H15" s="192"/>
    </row>
    <row r="16" spans="2:8" ht="27.75" customHeight="1" thickBot="1" x14ac:dyDescent="0.25">
      <c r="B16" s="57"/>
      <c r="C16" s="196" t="s">
        <v>15</v>
      </c>
      <c r="D16" s="197"/>
      <c r="E16" s="197" t="s">
        <v>16</v>
      </c>
      <c r="F16" s="208"/>
      <c r="G16" s="51"/>
      <c r="H16" s="59"/>
    </row>
    <row r="17" spans="2:8" ht="27.75" customHeight="1" x14ac:dyDescent="0.2">
      <c r="B17" s="57"/>
      <c r="C17" s="209" t="s">
        <v>17</v>
      </c>
      <c r="D17" s="210"/>
      <c r="E17" s="211" t="s">
        <v>18</v>
      </c>
      <c r="F17" s="212"/>
      <c r="G17" s="101"/>
      <c r="H17" s="59"/>
    </row>
    <row r="18" spans="2:8" ht="41.25" customHeight="1" x14ac:dyDescent="0.2">
      <c r="B18" s="57"/>
      <c r="C18" s="198" t="s">
        <v>19</v>
      </c>
      <c r="D18" s="199"/>
      <c r="E18" s="200" t="s">
        <v>20</v>
      </c>
      <c r="F18" s="201"/>
      <c r="G18" s="102"/>
      <c r="H18" s="59"/>
    </row>
    <row r="19" spans="2:8" ht="37.5" customHeight="1" thickBot="1" x14ac:dyDescent="0.25">
      <c r="B19" s="57"/>
      <c r="C19" s="202" t="s">
        <v>21</v>
      </c>
      <c r="D19" s="203"/>
      <c r="E19" s="204" t="s">
        <v>22</v>
      </c>
      <c r="F19" s="205"/>
      <c r="G19" s="102"/>
      <c r="H19" s="59"/>
    </row>
    <row r="20" spans="2:8" ht="11.25" customHeight="1" x14ac:dyDescent="0.2">
      <c r="B20" s="52"/>
      <c r="C20" s="53"/>
      <c r="D20" s="53"/>
      <c r="E20" s="53"/>
      <c r="F20" s="53"/>
      <c r="G20" s="53"/>
      <c r="H20" s="54"/>
    </row>
    <row r="21" spans="2:8" ht="14.25" customHeight="1" x14ac:dyDescent="0.2">
      <c r="B21" s="55"/>
      <c r="C21" s="206"/>
      <c r="D21" s="206"/>
      <c r="E21" s="207"/>
      <c r="F21" s="207"/>
      <c r="G21" s="207"/>
      <c r="H21" s="56"/>
    </row>
    <row r="22" spans="2:8" ht="36" customHeight="1" x14ac:dyDescent="0.2">
      <c r="B22" s="190" t="s">
        <v>23</v>
      </c>
      <c r="C22" s="191"/>
      <c r="D22" s="191"/>
      <c r="E22" s="191"/>
      <c r="F22" s="191"/>
      <c r="G22" s="191"/>
      <c r="H22" s="192"/>
    </row>
    <row r="23" spans="2:8" ht="13.5" x14ac:dyDescent="0.2">
      <c r="B23" s="57"/>
      <c r="C23" s="58"/>
      <c r="D23" s="58"/>
      <c r="E23" s="193"/>
      <c r="F23" s="193"/>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 ref="C10:D10"/>
    <mergeCell ref="E10:F10"/>
    <mergeCell ref="C11:D11"/>
    <mergeCell ref="E11:F11"/>
    <mergeCell ref="C12:D12"/>
    <mergeCell ref="E12:F12"/>
    <mergeCell ref="B2:H2"/>
    <mergeCell ref="B3:H4"/>
    <mergeCell ref="B5:H5"/>
    <mergeCell ref="B6:H7"/>
    <mergeCell ref="C9:D9"/>
    <mergeCell ref="E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B1" zoomScale="66" zoomScaleNormal="66" workbookViewId="0">
      <selection activeCell="G17" sqref="G17"/>
    </sheetView>
  </sheetViews>
  <sheetFormatPr baseColWidth="10" defaultColWidth="11.42578125" defaultRowHeight="16.5" x14ac:dyDescent="0.3"/>
  <cols>
    <col min="1" max="1" width="3" style="47" hidden="1" customWidth="1"/>
    <col min="2" max="2" width="9.42578125" style="47" customWidth="1"/>
    <col min="3" max="3" width="18" style="47" customWidth="1"/>
    <col min="4" max="4" width="29.140625" style="47" customWidth="1"/>
    <col min="5" max="5" width="10.140625" style="70" customWidth="1"/>
    <col min="6" max="6" width="47" style="70" customWidth="1"/>
    <col min="7" max="7" width="15.42578125" style="47" customWidth="1"/>
    <col min="8" max="8" width="113.85546875" style="47" customWidth="1"/>
    <col min="9" max="9" width="37.42578125"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44" t="s">
        <v>24</v>
      </c>
      <c r="C14" s="244"/>
      <c r="D14" s="244"/>
      <c r="E14" s="244"/>
      <c r="F14" s="244"/>
      <c r="G14" s="244"/>
      <c r="H14" s="244"/>
      <c r="I14" s="244"/>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66.75" customHeight="1" x14ac:dyDescent="0.25">
      <c r="A16" s="103" t="str">
        <f>1&amp;E16</f>
        <v>1a</v>
      </c>
      <c r="B16" s="255" t="s">
        <v>31</v>
      </c>
      <c r="C16" s="219" t="s">
        <v>32</v>
      </c>
      <c r="D16" s="252" t="s">
        <v>33</v>
      </c>
      <c r="E16" s="81" t="s">
        <v>34</v>
      </c>
      <c r="F16" s="82" t="s">
        <v>35</v>
      </c>
      <c r="G16" s="112" t="s">
        <v>75</v>
      </c>
      <c r="H16" s="160" t="s">
        <v>190</v>
      </c>
      <c r="I16" s="104" t="str">
        <f>+IF(G16="Si","Mantenimiento del control",IF(G16="En proceso","Oportunidad de mejora","Deficiencia de control"))</f>
        <v>Oportunidad de mejora</v>
      </c>
      <c r="J16" s="105">
        <f t="shared" ref="J16:J27" si="0">+IF(G16="Si",20,IF(G16="En proceso",10,0))</f>
        <v>10</v>
      </c>
      <c r="K16" s="105">
        <v>0.123</v>
      </c>
      <c r="L16" s="105">
        <f>+J16+K16</f>
        <v>10.122999999999999</v>
      </c>
    </row>
    <row r="17" spans="1:32" s="49" customFormat="1" ht="141" customHeight="1" x14ac:dyDescent="0.25">
      <c r="A17" s="103" t="str">
        <f t="shared" ref="A17:A27" si="1">1&amp;E17</f>
        <v>1b</v>
      </c>
      <c r="B17" s="256"/>
      <c r="C17" s="220"/>
      <c r="D17" s="253"/>
      <c r="E17" s="83" t="s">
        <v>36</v>
      </c>
      <c r="F17" s="84" t="s">
        <v>37</v>
      </c>
      <c r="G17" s="113" t="s">
        <v>38</v>
      </c>
      <c r="H17" s="161" t="s">
        <v>198</v>
      </c>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199.5" customHeight="1" x14ac:dyDescent="0.25">
      <c r="A18" s="103" t="str">
        <f t="shared" si="1"/>
        <v>1c</v>
      </c>
      <c r="B18" s="256"/>
      <c r="C18" s="220"/>
      <c r="D18" s="253"/>
      <c r="E18" s="83" t="s">
        <v>39</v>
      </c>
      <c r="F18" s="85" t="s">
        <v>40</v>
      </c>
      <c r="G18" s="114" t="s">
        <v>38</v>
      </c>
      <c r="H18" s="162" t="s">
        <v>191</v>
      </c>
      <c r="I18" s="108" t="str">
        <f t="shared" si="2"/>
        <v>Mantenimiento del control</v>
      </c>
      <c r="J18" s="107">
        <f t="shared" si="0"/>
        <v>20</v>
      </c>
      <c r="K18" s="105">
        <v>0.12345</v>
      </c>
      <c r="L18" s="105">
        <f t="shared" si="3"/>
        <v>20.123449999999998</v>
      </c>
    </row>
    <row r="19" spans="1:32" s="49" customFormat="1" ht="111.75" customHeight="1" x14ac:dyDescent="0.25">
      <c r="A19" s="103" t="str">
        <f t="shared" si="1"/>
        <v>1d</v>
      </c>
      <c r="B19" s="256"/>
      <c r="C19" s="220"/>
      <c r="D19" s="253"/>
      <c r="E19" s="83" t="s">
        <v>41</v>
      </c>
      <c r="F19" s="85" t="s">
        <v>42</v>
      </c>
      <c r="G19" s="114" t="s">
        <v>38</v>
      </c>
      <c r="H19" s="162" t="s">
        <v>222</v>
      </c>
      <c r="I19" s="108" t="str">
        <f t="shared" si="2"/>
        <v>Mantenimiento del control</v>
      </c>
      <c r="J19" s="107">
        <f t="shared" si="0"/>
        <v>20</v>
      </c>
      <c r="K19" s="105">
        <v>0.123456</v>
      </c>
      <c r="L19" s="105">
        <f t="shared" si="3"/>
        <v>20.123456000000001</v>
      </c>
    </row>
    <row r="20" spans="1:32" s="49" customFormat="1" ht="81" customHeight="1" x14ac:dyDescent="0.25">
      <c r="A20" s="103" t="str">
        <f t="shared" si="1"/>
        <v>1e</v>
      </c>
      <c r="B20" s="256"/>
      <c r="C20" s="220"/>
      <c r="D20" s="253"/>
      <c r="E20" s="83" t="s">
        <v>43</v>
      </c>
      <c r="F20" s="85" t="s">
        <v>44</v>
      </c>
      <c r="G20" s="114" t="s">
        <v>38</v>
      </c>
      <c r="H20" s="162" t="s">
        <v>227</v>
      </c>
      <c r="I20" s="108" t="str">
        <f t="shared" si="2"/>
        <v>Mantenimiento del control</v>
      </c>
      <c r="J20" s="107">
        <f t="shared" si="0"/>
        <v>20</v>
      </c>
      <c r="K20" s="105">
        <v>0.12345678</v>
      </c>
      <c r="L20" s="105">
        <f t="shared" si="3"/>
        <v>20.123456780000001</v>
      </c>
    </row>
    <row r="21" spans="1:32" s="49" customFormat="1" ht="147" customHeight="1" x14ac:dyDescent="0.25">
      <c r="A21" s="103" t="str">
        <f t="shared" si="1"/>
        <v>1f</v>
      </c>
      <c r="B21" s="256"/>
      <c r="C21" s="220"/>
      <c r="D21" s="253"/>
      <c r="E21" s="83" t="s">
        <v>45</v>
      </c>
      <c r="F21" s="85" t="s">
        <v>46</v>
      </c>
      <c r="G21" s="114" t="s">
        <v>38</v>
      </c>
      <c r="H21" s="162" t="s">
        <v>192</v>
      </c>
      <c r="I21" s="108" t="str">
        <f t="shared" si="2"/>
        <v>Mantenimiento del control</v>
      </c>
      <c r="J21" s="107">
        <f t="shared" si="0"/>
        <v>20</v>
      </c>
      <c r="K21" s="105">
        <v>0.123456789</v>
      </c>
      <c r="L21" s="105">
        <f t="shared" si="3"/>
        <v>20.123456788999999</v>
      </c>
    </row>
    <row r="22" spans="1:32" s="49" customFormat="1" ht="88.5" customHeight="1" x14ac:dyDescent="0.25">
      <c r="A22" s="103" t="str">
        <f t="shared" si="1"/>
        <v>1g</v>
      </c>
      <c r="B22" s="256"/>
      <c r="C22" s="220"/>
      <c r="D22" s="253"/>
      <c r="E22" s="83" t="s">
        <v>47</v>
      </c>
      <c r="F22" s="85" t="s">
        <v>48</v>
      </c>
      <c r="G22" s="114" t="s">
        <v>38</v>
      </c>
      <c r="H22" s="162" t="s">
        <v>193</v>
      </c>
      <c r="I22" s="108" t="str">
        <f t="shared" si="2"/>
        <v>Mantenimiento del control</v>
      </c>
      <c r="J22" s="107">
        <f t="shared" si="0"/>
        <v>20</v>
      </c>
      <c r="K22" s="105">
        <v>0.12345678910000001</v>
      </c>
      <c r="L22" s="105">
        <f t="shared" si="3"/>
        <v>20.1234567891</v>
      </c>
    </row>
    <row r="23" spans="1:32" s="49" customFormat="1" ht="88.5" customHeight="1" x14ac:dyDescent="0.25">
      <c r="A23" s="103" t="str">
        <f t="shared" si="1"/>
        <v>1h</v>
      </c>
      <c r="B23" s="256"/>
      <c r="C23" s="220"/>
      <c r="D23" s="253"/>
      <c r="E23" s="83" t="s">
        <v>49</v>
      </c>
      <c r="F23" s="85" t="s">
        <v>50</v>
      </c>
      <c r="G23" s="114" t="s">
        <v>38</v>
      </c>
      <c r="H23" s="162" t="s">
        <v>194</v>
      </c>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56"/>
      <c r="C24" s="220"/>
      <c r="D24" s="253"/>
      <c r="E24" s="83" t="s">
        <v>51</v>
      </c>
      <c r="F24" s="85" t="s">
        <v>52</v>
      </c>
      <c r="G24" s="114" t="s">
        <v>38</v>
      </c>
      <c r="H24" s="162" t="s">
        <v>223</v>
      </c>
      <c r="I24" s="108" t="str">
        <f t="shared" si="2"/>
        <v>Mantenimiento del control</v>
      </c>
      <c r="J24" s="107">
        <f t="shared" si="0"/>
        <v>20</v>
      </c>
      <c r="K24" s="105">
        <v>0.123456789123</v>
      </c>
      <c r="L24" s="105">
        <f t="shared" si="3"/>
        <v>20.123456789123001</v>
      </c>
    </row>
    <row r="25" spans="1:32" s="49" customFormat="1" ht="52.5" customHeight="1" x14ac:dyDescent="0.25">
      <c r="A25" s="103" t="str">
        <f t="shared" si="1"/>
        <v>1j</v>
      </c>
      <c r="B25" s="256"/>
      <c r="C25" s="220"/>
      <c r="D25" s="253"/>
      <c r="E25" s="83" t="s">
        <v>53</v>
      </c>
      <c r="F25" s="85" t="s">
        <v>54</v>
      </c>
      <c r="G25" s="114" t="s">
        <v>38</v>
      </c>
      <c r="H25" s="162" t="s">
        <v>195</v>
      </c>
      <c r="I25" s="108" t="str">
        <f t="shared" si="2"/>
        <v>Mantenimiento del control</v>
      </c>
      <c r="J25" s="107">
        <f t="shared" si="0"/>
        <v>20</v>
      </c>
      <c r="K25" s="105">
        <v>0.1234567891234</v>
      </c>
      <c r="L25" s="105">
        <f t="shared" si="3"/>
        <v>20.123456789123399</v>
      </c>
    </row>
    <row r="26" spans="1:32" s="49" customFormat="1" ht="93.75" customHeight="1" x14ac:dyDescent="0.25">
      <c r="A26" s="103" t="str">
        <f t="shared" si="1"/>
        <v>1k</v>
      </c>
      <c r="B26" s="256"/>
      <c r="C26" s="220"/>
      <c r="D26" s="253"/>
      <c r="E26" s="83" t="s">
        <v>55</v>
      </c>
      <c r="F26" s="85" t="s">
        <v>56</v>
      </c>
      <c r="G26" s="114" t="s">
        <v>38</v>
      </c>
      <c r="H26" s="162" t="s">
        <v>196</v>
      </c>
      <c r="I26" s="108" t="str">
        <f t="shared" si="2"/>
        <v>Mantenimiento del control</v>
      </c>
      <c r="J26" s="107">
        <f t="shared" si="0"/>
        <v>20</v>
      </c>
      <c r="K26" s="105">
        <v>0.12345678912345</v>
      </c>
      <c r="L26" s="105">
        <f t="shared" si="3"/>
        <v>20.123456789123448</v>
      </c>
    </row>
    <row r="27" spans="1:32" s="49" customFormat="1" ht="83.25" thickBot="1" x14ac:dyDescent="0.3">
      <c r="A27" s="103" t="str">
        <f t="shared" si="1"/>
        <v>1l</v>
      </c>
      <c r="B27" s="257"/>
      <c r="C27" s="221"/>
      <c r="D27" s="254"/>
      <c r="E27" s="86" t="s">
        <v>57</v>
      </c>
      <c r="F27" s="87" t="s">
        <v>58</v>
      </c>
      <c r="G27" s="115" t="s">
        <v>38</v>
      </c>
      <c r="H27" s="163" t="s">
        <v>197</v>
      </c>
      <c r="I27" s="109" t="str">
        <f t="shared" si="2"/>
        <v>Mantenimiento del control</v>
      </c>
      <c r="J27" s="107">
        <f t="shared" si="0"/>
        <v>20</v>
      </c>
      <c r="K27" s="105">
        <v>0.12345678912345601</v>
      </c>
      <c r="L27" s="105">
        <f t="shared" si="3"/>
        <v>20.123456789123455</v>
      </c>
    </row>
    <row r="28" spans="1:32" s="49" customFormat="1" ht="111" customHeight="1" thickBot="1" x14ac:dyDescent="0.3">
      <c r="A28" s="103" t="str">
        <f>2&amp;E28</f>
        <v>2a</v>
      </c>
      <c r="B28" s="258" t="s">
        <v>59</v>
      </c>
      <c r="C28" s="222" t="s">
        <v>60</v>
      </c>
      <c r="D28" s="261" t="s">
        <v>61</v>
      </c>
      <c r="E28" s="81" t="s">
        <v>34</v>
      </c>
      <c r="F28" s="82" t="s">
        <v>62</v>
      </c>
      <c r="G28" s="112" t="s">
        <v>38</v>
      </c>
      <c r="H28" s="160" t="s">
        <v>224</v>
      </c>
      <c r="I28" s="104" t="str">
        <f t="shared" si="2"/>
        <v>Mantenimiento del control</v>
      </c>
      <c r="J28" s="105">
        <f>+IF(G28="Si",40,IF(G28="En proceso",30,20))</f>
        <v>40</v>
      </c>
      <c r="K28" s="105">
        <v>0.23</v>
      </c>
      <c r="L28" s="105">
        <f t="shared" si="3"/>
        <v>40.229999999999997</v>
      </c>
    </row>
    <row r="29" spans="1:32" s="49" customFormat="1" ht="94.5" customHeight="1" x14ac:dyDescent="0.25">
      <c r="A29" s="103" t="str">
        <f t="shared" ref="A29:A31" si="4">2&amp;E29</f>
        <v>2b</v>
      </c>
      <c r="B29" s="259"/>
      <c r="C29" s="223"/>
      <c r="D29" s="237"/>
      <c r="E29" s="83" t="s">
        <v>36</v>
      </c>
      <c r="F29" s="85" t="s">
        <v>63</v>
      </c>
      <c r="G29" s="114" t="s">
        <v>38</v>
      </c>
      <c r="H29" s="160" t="s">
        <v>226</v>
      </c>
      <c r="I29" s="108" t="str">
        <f t="shared" si="2"/>
        <v>Mantenimiento del control</v>
      </c>
      <c r="J29" s="105">
        <f>+IF(G29="Si",40,IF(G29="En proceso",30,20))</f>
        <v>40</v>
      </c>
      <c r="K29" s="105">
        <v>0.23400000000000001</v>
      </c>
      <c r="L29" s="105">
        <f t="shared" si="3"/>
        <v>40.234000000000002</v>
      </c>
    </row>
    <row r="30" spans="1:32" s="49" customFormat="1" ht="62.25" customHeight="1" x14ac:dyDescent="0.25">
      <c r="A30" s="103" t="str">
        <f t="shared" si="4"/>
        <v>2c</v>
      </c>
      <c r="B30" s="259"/>
      <c r="C30" s="223"/>
      <c r="D30" s="237"/>
      <c r="E30" s="83" t="s">
        <v>39</v>
      </c>
      <c r="F30" s="85" t="s">
        <v>64</v>
      </c>
      <c r="G30" s="114" t="s">
        <v>38</v>
      </c>
      <c r="H30" s="162" t="s">
        <v>199</v>
      </c>
      <c r="I30" s="108" t="str">
        <f t="shared" si="2"/>
        <v>Mantenimiento del control</v>
      </c>
      <c r="J30" s="105">
        <f>+IF(G30="Si",40,IF(G30="En proceso",30,20))</f>
        <v>40</v>
      </c>
      <c r="K30" s="105">
        <v>0.23449999999999999</v>
      </c>
      <c r="L30" s="105">
        <f t="shared" si="3"/>
        <v>40.234499999999997</v>
      </c>
    </row>
    <row r="31" spans="1:32" s="49" customFormat="1" ht="79.5" customHeight="1" thickBot="1" x14ac:dyDescent="0.3">
      <c r="A31" s="103" t="str">
        <f t="shared" si="4"/>
        <v>2d</v>
      </c>
      <c r="B31" s="260"/>
      <c r="C31" s="224"/>
      <c r="D31" s="262"/>
      <c r="E31" s="86" t="s">
        <v>41</v>
      </c>
      <c r="F31" s="87" t="s">
        <v>65</v>
      </c>
      <c r="G31" s="115" t="s">
        <v>38</v>
      </c>
      <c r="H31" s="163" t="s">
        <v>200</v>
      </c>
      <c r="I31" s="109" t="str">
        <f t="shared" si="2"/>
        <v>Mantenimiento del control</v>
      </c>
      <c r="J31" s="105">
        <f>+IF(G31="Si",40,IF(G31="En proceso",30,20))</f>
        <v>40</v>
      </c>
      <c r="K31" s="105">
        <v>0.23455999999999999</v>
      </c>
      <c r="L31" s="105">
        <f t="shared" si="3"/>
        <v>40.234560000000002</v>
      </c>
    </row>
    <row r="32" spans="1:32" s="49" customFormat="1" ht="173.25" customHeight="1" x14ac:dyDescent="0.25">
      <c r="A32" s="103" t="str">
        <f>3&amp;E32</f>
        <v>3a</v>
      </c>
      <c r="B32" s="234" t="s">
        <v>66</v>
      </c>
      <c r="C32" s="234" t="s">
        <v>60</v>
      </c>
      <c r="D32" s="235" t="s">
        <v>67</v>
      </c>
      <c r="E32" s="88" t="s">
        <v>34</v>
      </c>
      <c r="F32" s="85" t="s">
        <v>68</v>
      </c>
      <c r="G32" s="114" t="s">
        <v>75</v>
      </c>
      <c r="H32" s="162" t="s">
        <v>230</v>
      </c>
      <c r="I32" s="108" t="str">
        <f t="shared" si="2"/>
        <v>Oportunidad de mejora</v>
      </c>
      <c r="J32" s="105">
        <f t="shared" ref="J32:J37" si="5">+IF(G32="Si",40,IF(G32="En proceso",30,20))</f>
        <v>30</v>
      </c>
      <c r="K32" s="110">
        <v>0.234567</v>
      </c>
      <c r="L32" s="105">
        <f t="shared" ref="L32:L37" si="6">+J32+K32</f>
        <v>30.234566999999998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197.25" customHeight="1" x14ac:dyDescent="0.25">
      <c r="A33" s="103" t="str">
        <f t="shared" ref="A33:A34" si="7">3&amp;E33</f>
        <v>3b</v>
      </c>
      <c r="B33" s="234"/>
      <c r="C33" s="234"/>
      <c r="D33" s="235"/>
      <c r="E33" s="88" t="s">
        <v>36</v>
      </c>
      <c r="F33" s="85" t="s">
        <v>69</v>
      </c>
      <c r="G33" s="114" t="s">
        <v>75</v>
      </c>
      <c r="H33" s="162" t="s">
        <v>229</v>
      </c>
      <c r="I33" s="108" t="str">
        <f t="shared" si="2"/>
        <v>Oportunidad de mejora</v>
      </c>
      <c r="J33" s="105">
        <f t="shared" si="5"/>
        <v>30</v>
      </c>
      <c r="K33" s="110">
        <v>0.23456779999999999</v>
      </c>
      <c r="L33" s="105">
        <f t="shared" si="6"/>
        <v>30.234567800000001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102.75" customHeight="1" thickBot="1" x14ac:dyDescent="0.3">
      <c r="A34" s="103" t="str">
        <f t="shared" si="7"/>
        <v>3c</v>
      </c>
      <c r="B34" s="234"/>
      <c r="C34" s="234"/>
      <c r="D34" s="235"/>
      <c r="E34" s="88" t="s">
        <v>39</v>
      </c>
      <c r="F34" s="85" t="s">
        <v>70</v>
      </c>
      <c r="G34" s="114" t="s">
        <v>38</v>
      </c>
      <c r="H34" s="162" t="s">
        <v>228</v>
      </c>
      <c r="I34" s="108" t="str">
        <f t="shared" si="2"/>
        <v>Mantenimiento del control</v>
      </c>
      <c r="J34" s="105">
        <f t="shared" si="5"/>
        <v>40</v>
      </c>
      <c r="K34" s="110">
        <v>0.23456789</v>
      </c>
      <c r="L34" s="105">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36" t="s">
        <v>71</v>
      </c>
      <c r="C35" s="223" t="s">
        <v>60</v>
      </c>
      <c r="D35" s="237" t="s">
        <v>72</v>
      </c>
      <c r="E35" s="81" t="s">
        <v>34</v>
      </c>
      <c r="F35" s="82" t="s">
        <v>73</v>
      </c>
      <c r="G35" s="112" t="s">
        <v>38</v>
      </c>
      <c r="H35" s="160" t="s">
        <v>201</v>
      </c>
      <c r="I35" s="104" t="str">
        <f t="shared" si="2"/>
        <v>Mantenimiento del control</v>
      </c>
      <c r="J35" s="105">
        <f t="shared" si="5"/>
        <v>40</v>
      </c>
      <c r="K35" s="110">
        <v>0.23456789119999999</v>
      </c>
      <c r="L35" s="105">
        <f t="shared" si="6"/>
        <v>40.234567891200001</v>
      </c>
      <c r="M35" s="48"/>
      <c r="N35" s="48"/>
      <c r="O35" s="48"/>
      <c r="P35" s="48"/>
      <c r="Q35" s="48"/>
    </row>
    <row r="36" spans="1:32" s="49" customFormat="1" ht="75" customHeight="1" x14ac:dyDescent="0.25">
      <c r="A36" s="103" t="str">
        <f t="shared" ref="A36:A37" si="8">4&amp;E36</f>
        <v>4b</v>
      </c>
      <c r="B36" s="236"/>
      <c r="C36" s="223"/>
      <c r="D36" s="237"/>
      <c r="E36" s="83" t="s">
        <v>36</v>
      </c>
      <c r="F36" s="85" t="s">
        <v>74</v>
      </c>
      <c r="G36" s="114" t="s">
        <v>75</v>
      </c>
      <c r="H36" s="162" t="s">
        <v>202</v>
      </c>
      <c r="I36" s="108" t="str">
        <f t="shared" si="2"/>
        <v>Oportunidad de mejora</v>
      </c>
      <c r="J36" s="105">
        <f t="shared" si="5"/>
        <v>30</v>
      </c>
      <c r="K36" s="110">
        <v>0.23456789122999999</v>
      </c>
      <c r="L36" s="105">
        <f t="shared" si="6"/>
        <v>30.23456789123</v>
      </c>
      <c r="M36" s="48"/>
      <c r="N36" s="48"/>
      <c r="O36" s="48"/>
      <c r="P36" s="48"/>
      <c r="Q36" s="48"/>
    </row>
    <row r="37" spans="1:32" s="49" customFormat="1" ht="84.75" customHeight="1" thickBot="1" x14ac:dyDescent="0.3">
      <c r="A37" s="103" t="str">
        <f t="shared" si="8"/>
        <v>4c</v>
      </c>
      <c r="B37" s="236"/>
      <c r="C37" s="223"/>
      <c r="D37" s="237"/>
      <c r="E37" s="83" t="s">
        <v>39</v>
      </c>
      <c r="F37" s="85" t="s">
        <v>76</v>
      </c>
      <c r="G37" s="114" t="s">
        <v>38</v>
      </c>
      <c r="H37" s="162" t="s">
        <v>203</v>
      </c>
      <c r="I37" s="108" t="str">
        <f t="shared" si="2"/>
        <v>Mantenimiento del control</v>
      </c>
      <c r="J37" s="105">
        <f t="shared" si="5"/>
        <v>40</v>
      </c>
      <c r="K37" s="110">
        <v>0.23456789123399999</v>
      </c>
      <c r="L37" s="105">
        <f t="shared" si="6"/>
        <v>40.234567891234001</v>
      </c>
      <c r="M37" s="48"/>
      <c r="N37" s="48"/>
      <c r="O37" s="48"/>
      <c r="P37" s="48"/>
      <c r="Q37" s="48"/>
    </row>
    <row r="38" spans="1:32" s="49" customFormat="1" ht="129.75" customHeight="1" x14ac:dyDescent="0.25">
      <c r="A38" s="103" t="str">
        <f>5&amp;E38</f>
        <v>5a</v>
      </c>
      <c r="B38" s="238" t="s">
        <v>77</v>
      </c>
      <c r="C38" s="225" t="s">
        <v>78</v>
      </c>
      <c r="D38" s="241" t="s">
        <v>79</v>
      </c>
      <c r="E38" s="81" t="s">
        <v>34</v>
      </c>
      <c r="F38" s="89" t="s">
        <v>80</v>
      </c>
      <c r="G38" s="116" t="s">
        <v>75</v>
      </c>
      <c r="H38" s="160" t="s">
        <v>232</v>
      </c>
      <c r="I38" s="111" t="str">
        <f t="shared" si="2"/>
        <v>Oportunidad de mejora</v>
      </c>
      <c r="J38" s="105">
        <f>+IF(G38="Si",60,IF(G38="En proceso",50,40))</f>
        <v>50</v>
      </c>
      <c r="K38" s="105">
        <v>0.31</v>
      </c>
      <c r="L38" s="105">
        <f t="shared" si="3"/>
        <v>50.31</v>
      </c>
    </row>
    <row r="39" spans="1:32" s="49" customFormat="1" ht="132.75" customHeight="1" x14ac:dyDescent="0.25">
      <c r="A39" s="103" t="str">
        <f t="shared" ref="A39:A42" si="9">5&amp;E39</f>
        <v>5b</v>
      </c>
      <c r="B39" s="239"/>
      <c r="C39" s="226"/>
      <c r="D39" s="242"/>
      <c r="E39" s="83" t="s">
        <v>36</v>
      </c>
      <c r="F39" s="85" t="s">
        <v>81</v>
      </c>
      <c r="G39" s="114" t="s">
        <v>75</v>
      </c>
      <c r="H39" s="162" t="s">
        <v>231</v>
      </c>
      <c r="I39" s="108" t="str">
        <f t="shared" si="2"/>
        <v>Oportunidad de mejora</v>
      </c>
      <c r="J39" s="105">
        <f>+IF(G39="Si",60,IF(G39="En proceso",50,40))</f>
        <v>50</v>
      </c>
      <c r="K39" s="105">
        <v>0.32300000000000001</v>
      </c>
      <c r="L39" s="105">
        <f t="shared" si="3"/>
        <v>50.323</v>
      </c>
    </row>
    <row r="40" spans="1:32" s="49" customFormat="1" ht="104.25" customHeight="1" x14ac:dyDescent="0.25">
      <c r="A40" s="103" t="str">
        <f t="shared" si="9"/>
        <v>5c</v>
      </c>
      <c r="B40" s="239"/>
      <c r="C40" s="226"/>
      <c r="D40" s="242"/>
      <c r="E40" s="83" t="s">
        <v>39</v>
      </c>
      <c r="F40" s="85" t="s">
        <v>82</v>
      </c>
      <c r="G40" s="114" t="s">
        <v>75</v>
      </c>
      <c r="H40" s="162" t="s">
        <v>233</v>
      </c>
      <c r="I40" s="108" t="str">
        <f t="shared" si="2"/>
        <v>Oportunidad de mejora</v>
      </c>
      <c r="J40" s="105">
        <f>+IF(G40="Si",60,IF(G40="En proceso",50,40))</f>
        <v>50</v>
      </c>
      <c r="K40" s="105">
        <v>0.32400000000000001</v>
      </c>
      <c r="L40" s="105">
        <f t="shared" si="3"/>
        <v>50.323999999999998</v>
      </c>
    </row>
    <row r="41" spans="1:32" s="49" customFormat="1" ht="117.75" customHeight="1" x14ac:dyDescent="0.25">
      <c r="A41" s="103" t="str">
        <f t="shared" si="9"/>
        <v>5d</v>
      </c>
      <c r="B41" s="239"/>
      <c r="C41" s="226"/>
      <c r="D41" s="242"/>
      <c r="E41" s="83" t="s">
        <v>41</v>
      </c>
      <c r="F41" s="85" t="s">
        <v>83</v>
      </c>
      <c r="G41" s="114" t="s">
        <v>38</v>
      </c>
      <c r="H41" s="162" t="s">
        <v>225</v>
      </c>
      <c r="I41" s="108" t="str">
        <f t="shared" si="2"/>
        <v>Mantenimiento del control</v>
      </c>
      <c r="J41" s="105">
        <f>+IF(G41="Si",60,IF(G41="En proceso",50,40))</f>
        <v>60</v>
      </c>
      <c r="K41" s="105">
        <v>0.32500000000000001</v>
      </c>
      <c r="L41" s="105">
        <f t="shared" si="3"/>
        <v>60.325000000000003</v>
      </c>
    </row>
    <row r="42" spans="1:32" s="49" customFormat="1" ht="101.25" customHeight="1" thickBot="1" x14ac:dyDescent="0.3">
      <c r="A42" s="103" t="str">
        <f t="shared" si="9"/>
        <v>5e</v>
      </c>
      <c r="B42" s="240"/>
      <c r="C42" s="227"/>
      <c r="D42" s="243"/>
      <c r="E42" s="86" t="s">
        <v>43</v>
      </c>
      <c r="F42" s="87" t="s">
        <v>84</v>
      </c>
      <c r="G42" s="115" t="s">
        <v>38</v>
      </c>
      <c r="H42" s="163" t="s">
        <v>204</v>
      </c>
      <c r="I42" s="109" t="str">
        <f t="shared" si="2"/>
        <v>Mantenimiento del control</v>
      </c>
      <c r="J42" s="105">
        <f>+IF(G42="Si",60,IF(G42="En proceso",50,40))</f>
        <v>60</v>
      </c>
      <c r="K42" s="105">
        <v>0.32600000000000001</v>
      </c>
      <c r="L42" s="105">
        <f t="shared" si="3"/>
        <v>60.326000000000001</v>
      </c>
    </row>
    <row r="43" spans="1:32" s="49" customFormat="1" ht="76.5" customHeight="1" x14ac:dyDescent="0.25">
      <c r="A43" s="103" t="str">
        <f>6&amp;E43</f>
        <v>6a</v>
      </c>
      <c r="B43" s="248" t="s">
        <v>85</v>
      </c>
      <c r="C43" s="228" t="s">
        <v>86</v>
      </c>
      <c r="D43" s="245" t="s">
        <v>87</v>
      </c>
      <c r="E43" s="81" t="s">
        <v>34</v>
      </c>
      <c r="F43" s="82" t="s">
        <v>88</v>
      </c>
      <c r="G43" s="112" t="s">
        <v>38</v>
      </c>
      <c r="H43" s="160" t="s">
        <v>205</v>
      </c>
      <c r="I43" s="104" t="str">
        <f t="shared" si="2"/>
        <v>Mantenimiento del control</v>
      </c>
      <c r="J43" s="105">
        <f t="shared" ref="J43:J49" si="10">+IF(G43="Si",80,IF(G43="En proceso",70,60))</f>
        <v>80</v>
      </c>
      <c r="K43" s="105">
        <v>0.41199999999999998</v>
      </c>
      <c r="L43" s="105">
        <f t="shared" si="3"/>
        <v>80.412000000000006</v>
      </c>
    </row>
    <row r="44" spans="1:32" s="49" customFormat="1" ht="51" customHeight="1" x14ac:dyDescent="0.25">
      <c r="A44" s="103" t="str">
        <f t="shared" ref="A44:A49" si="11">6&amp;E44</f>
        <v>6b</v>
      </c>
      <c r="B44" s="249"/>
      <c r="C44" s="229"/>
      <c r="D44" s="246"/>
      <c r="E44" s="83" t="s">
        <v>36</v>
      </c>
      <c r="F44" s="85" t="s">
        <v>89</v>
      </c>
      <c r="G44" s="114" t="s">
        <v>38</v>
      </c>
      <c r="H44" s="162" t="s">
        <v>206</v>
      </c>
      <c r="I44" s="108" t="str">
        <f t="shared" si="2"/>
        <v>Mantenimiento del control</v>
      </c>
      <c r="J44" s="105">
        <f t="shared" si="10"/>
        <v>80</v>
      </c>
      <c r="K44" s="105">
        <v>0.4123</v>
      </c>
      <c r="L44" s="105">
        <f t="shared" si="3"/>
        <v>80.412300000000002</v>
      </c>
    </row>
    <row r="45" spans="1:32" s="49" customFormat="1" ht="70.5" customHeight="1" x14ac:dyDescent="0.25">
      <c r="A45" s="103" t="str">
        <f t="shared" si="11"/>
        <v>6c</v>
      </c>
      <c r="B45" s="249"/>
      <c r="C45" s="229"/>
      <c r="D45" s="246"/>
      <c r="E45" s="83" t="s">
        <v>39</v>
      </c>
      <c r="F45" s="85" t="s">
        <v>90</v>
      </c>
      <c r="G45" s="114" t="s">
        <v>38</v>
      </c>
      <c r="H45" s="162" t="s">
        <v>207</v>
      </c>
      <c r="I45" s="108" t="str">
        <f t="shared" si="2"/>
        <v>Mantenimiento del control</v>
      </c>
      <c r="J45" s="105">
        <f t="shared" si="10"/>
        <v>80</v>
      </c>
      <c r="K45" s="105">
        <v>0.41233999999999998</v>
      </c>
      <c r="L45" s="105">
        <f t="shared" si="3"/>
        <v>80.41234</v>
      </c>
    </row>
    <row r="46" spans="1:32" s="49" customFormat="1" ht="85.5" customHeight="1" x14ac:dyDescent="0.25">
      <c r="A46" s="103" t="str">
        <f t="shared" si="11"/>
        <v>6d</v>
      </c>
      <c r="B46" s="249"/>
      <c r="C46" s="229"/>
      <c r="D46" s="246"/>
      <c r="E46" s="83" t="s">
        <v>41</v>
      </c>
      <c r="F46" s="85" t="s">
        <v>91</v>
      </c>
      <c r="G46" s="114" t="s">
        <v>38</v>
      </c>
      <c r="H46" s="162" t="s">
        <v>208</v>
      </c>
      <c r="I46" s="108" t="str">
        <f t="shared" si="2"/>
        <v>Mantenimiento del control</v>
      </c>
      <c r="J46" s="105">
        <f t="shared" si="10"/>
        <v>80</v>
      </c>
      <c r="K46" s="105">
        <v>0.41234500000000002</v>
      </c>
      <c r="L46" s="105">
        <f t="shared" si="3"/>
        <v>80.412345000000002</v>
      </c>
    </row>
    <row r="47" spans="1:32" s="49" customFormat="1" ht="123.75" customHeight="1" x14ac:dyDescent="0.25">
      <c r="A47" s="103" t="str">
        <f t="shared" si="11"/>
        <v>6e</v>
      </c>
      <c r="B47" s="249"/>
      <c r="C47" s="229"/>
      <c r="D47" s="246"/>
      <c r="E47" s="83" t="s">
        <v>43</v>
      </c>
      <c r="F47" s="85" t="s">
        <v>92</v>
      </c>
      <c r="G47" s="114" t="s">
        <v>75</v>
      </c>
      <c r="H47" s="162" t="s">
        <v>234</v>
      </c>
      <c r="I47" s="108" t="str">
        <f t="shared" si="2"/>
        <v>Oportunidad de mejora</v>
      </c>
      <c r="J47" s="105">
        <f t="shared" si="10"/>
        <v>70</v>
      </c>
      <c r="K47" s="105">
        <v>0.41234559999999998</v>
      </c>
      <c r="L47" s="105">
        <f t="shared" si="3"/>
        <v>70.412345599999995</v>
      </c>
    </row>
    <row r="48" spans="1:32" s="49" customFormat="1" ht="87" customHeight="1" x14ac:dyDescent="0.25">
      <c r="A48" s="103" t="str">
        <f t="shared" si="11"/>
        <v>6f</v>
      </c>
      <c r="B48" s="249"/>
      <c r="C48" s="229"/>
      <c r="D48" s="246"/>
      <c r="E48" s="83" t="s">
        <v>45</v>
      </c>
      <c r="F48" s="330" t="s">
        <v>93</v>
      </c>
      <c r="G48" s="114" t="s">
        <v>75</v>
      </c>
      <c r="H48" s="162" t="s">
        <v>235</v>
      </c>
      <c r="I48" s="108" t="str">
        <f t="shared" si="2"/>
        <v>Oportunidad de mejora</v>
      </c>
      <c r="J48" s="105">
        <f t="shared" si="10"/>
        <v>70</v>
      </c>
      <c r="K48" s="105">
        <v>0.41234567</v>
      </c>
      <c r="L48" s="105">
        <f t="shared" si="3"/>
        <v>70.412345669999993</v>
      </c>
    </row>
    <row r="49" spans="1:17" s="49" customFormat="1" ht="94.5" customHeight="1" thickBot="1" x14ac:dyDescent="0.3">
      <c r="A49" s="103" t="str">
        <f t="shared" si="11"/>
        <v>6g</v>
      </c>
      <c r="B49" s="250"/>
      <c r="C49" s="230"/>
      <c r="D49" s="247"/>
      <c r="E49" s="86" t="s">
        <v>47</v>
      </c>
      <c r="F49" s="87" t="s">
        <v>94</v>
      </c>
      <c r="G49" s="159" t="s">
        <v>38</v>
      </c>
      <c r="H49" s="163" t="s">
        <v>209</v>
      </c>
      <c r="I49" s="109" t="str">
        <f t="shared" si="2"/>
        <v>Mantenimiento del control</v>
      </c>
      <c r="J49" s="105">
        <f t="shared" si="10"/>
        <v>80</v>
      </c>
      <c r="K49" s="105">
        <v>0.41234567799999999</v>
      </c>
      <c r="L49" s="105">
        <f t="shared" si="3"/>
        <v>80.412345677999994</v>
      </c>
    </row>
    <row r="50" spans="1:17" s="49" customFormat="1" ht="102.75" customHeight="1" x14ac:dyDescent="0.25">
      <c r="A50" s="103" t="str">
        <f>7&amp;E50</f>
        <v>7a</v>
      </c>
      <c r="B50" s="216" t="s">
        <v>95</v>
      </c>
      <c r="C50" s="231" t="s">
        <v>96</v>
      </c>
      <c r="D50" s="213" t="s">
        <v>97</v>
      </c>
      <c r="E50" s="81" t="s">
        <v>34</v>
      </c>
      <c r="F50" s="82" t="s">
        <v>98</v>
      </c>
      <c r="G50" s="116" t="s">
        <v>38</v>
      </c>
      <c r="H50" s="160" t="s">
        <v>210</v>
      </c>
      <c r="I50" s="104" t="str">
        <f t="shared" si="2"/>
        <v>Mantenimiento del control</v>
      </c>
      <c r="J50" s="105">
        <f>+IF(G50="Si",120,IF(G50="En proceso",100,80))</f>
        <v>120</v>
      </c>
      <c r="K50" s="105">
        <v>0.85099999999999998</v>
      </c>
      <c r="L50" s="105">
        <f t="shared" si="3"/>
        <v>120.851</v>
      </c>
    </row>
    <row r="51" spans="1:17" s="49" customFormat="1" ht="138.75" customHeight="1" x14ac:dyDescent="0.25">
      <c r="A51" s="103" t="str">
        <f t="shared" ref="A51:A53" si="12">7&amp;E51</f>
        <v>7d</v>
      </c>
      <c r="B51" s="217"/>
      <c r="C51" s="232"/>
      <c r="D51" s="214"/>
      <c r="E51" s="83" t="s">
        <v>41</v>
      </c>
      <c r="F51" s="85" t="s">
        <v>99</v>
      </c>
      <c r="G51" s="114" t="s">
        <v>38</v>
      </c>
      <c r="H51" s="162" t="s">
        <v>236</v>
      </c>
      <c r="I51" s="108" t="str">
        <f t="shared" si="2"/>
        <v>Mantenimiento del control</v>
      </c>
      <c r="J51" s="105">
        <f t="shared" ref="J51:J59" si="13">+IF(G51="Si",120,IF(G51="En proceso",100,80))</f>
        <v>120</v>
      </c>
      <c r="K51" s="105">
        <v>0.85119999999999996</v>
      </c>
      <c r="L51" s="105">
        <f t="shared" si="3"/>
        <v>120.85120000000001</v>
      </c>
    </row>
    <row r="52" spans="1:17" s="49" customFormat="1" ht="128.25" customHeight="1" x14ac:dyDescent="0.25">
      <c r="A52" s="103" t="str">
        <f t="shared" si="12"/>
        <v>7f</v>
      </c>
      <c r="B52" s="217"/>
      <c r="C52" s="232"/>
      <c r="D52" s="214"/>
      <c r="E52" s="83" t="s">
        <v>45</v>
      </c>
      <c r="F52" s="85" t="s">
        <v>100</v>
      </c>
      <c r="G52" s="114" t="s">
        <v>38</v>
      </c>
      <c r="H52" s="162" t="s">
        <v>211</v>
      </c>
      <c r="I52" s="108" t="str">
        <f t="shared" si="2"/>
        <v>Mantenimiento del control</v>
      </c>
      <c r="J52" s="105">
        <f t="shared" si="13"/>
        <v>120</v>
      </c>
      <c r="K52" s="105">
        <v>0.85123000000000004</v>
      </c>
      <c r="L52" s="105">
        <f t="shared" si="3"/>
        <v>120.85123</v>
      </c>
    </row>
    <row r="53" spans="1:17" s="49" customFormat="1" ht="111" customHeight="1" thickBot="1" x14ac:dyDescent="0.3">
      <c r="A53" s="103" t="str">
        <f t="shared" si="12"/>
        <v>7g</v>
      </c>
      <c r="B53" s="218"/>
      <c r="C53" s="233"/>
      <c r="D53" s="251"/>
      <c r="E53" s="86" t="s">
        <v>47</v>
      </c>
      <c r="F53" s="87" t="s">
        <v>101</v>
      </c>
      <c r="G53" s="115" t="s">
        <v>38</v>
      </c>
      <c r="H53" s="163" t="s">
        <v>212</v>
      </c>
      <c r="I53" s="109" t="str">
        <f t="shared" si="2"/>
        <v>Mantenimiento del control</v>
      </c>
      <c r="J53" s="105">
        <f t="shared" si="13"/>
        <v>120</v>
      </c>
      <c r="K53" s="105">
        <v>0.85123400000000005</v>
      </c>
      <c r="L53" s="105">
        <f t="shared" si="3"/>
        <v>120.85123400000001</v>
      </c>
    </row>
    <row r="54" spans="1:17" s="49" customFormat="1" ht="131.25" customHeight="1" thickBot="1" x14ac:dyDescent="0.3">
      <c r="A54" s="103" t="str">
        <f>8&amp;E54</f>
        <v>8h</v>
      </c>
      <c r="B54" s="157" t="s">
        <v>102</v>
      </c>
      <c r="C54" s="158" t="s">
        <v>96</v>
      </c>
      <c r="D54" s="76" t="s">
        <v>103</v>
      </c>
      <c r="E54" s="81" t="s">
        <v>49</v>
      </c>
      <c r="F54" s="82" t="s">
        <v>104</v>
      </c>
      <c r="G54" s="112" t="s">
        <v>38</v>
      </c>
      <c r="H54" s="160" t="s">
        <v>237</v>
      </c>
      <c r="I54" s="104" t="str">
        <f t="shared" si="2"/>
        <v>Mantenimiento del control</v>
      </c>
      <c r="J54" s="105">
        <f t="shared" si="13"/>
        <v>120</v>
      </c>
      <c r="K54" s="105">
        <v>0.85123450000000001</v>
      </c>
      <c r="L54" s="105">
        <f t="shared" si="3"/>
        <v>120.8512345</v>
      </c>
    </row>
    <row r="55" spans="1:17" s="49" customFormat="1" ht="126.75" customHeight="1" x14ac:dyDescent="0.25">
      <c r="A55" s="103" t="str">
        <f>9&amp;E55</f>
        <v>9a</v>
      </c>
      <c r="B55" s="216" t="s">
        <v>105</v>
      </c>
      <c r="C55" s="231" t="s">
        <v>96</v>
      </c>
      <c r="D55" s="213" t="s">
        <v>106</v>
      </c>
      <c r="E55" s="81" t="s">
        <v>34</v>
      </c>
      <c r="F55" s="82" t="s">
        <v>107</v>
      </c>
      <c r="G55" s="112" t="s">
        <v>38</v>
      </c>
      <c r="H55" s="160" t="s">
        <v>238</v>
      </c>
      <c r="I55" s="104" t="str">
        <f t="shared" si="2"/>
        <v>Mantenimiento del control</v>
      </c>
      <c r="J55" s="105">
        <f t="shared" si="13"/>
        <v>120</v>
      </c>
      <c r="K55" s="110">
        <v>0.85123455999999997</v>
      </c>
      <c r="L55" s="105">
        <f t="shared" si="3"/>
        <v>120.85123455999999</v>
      </c>
      <c r="M55" s="48"/>
      <c r="N55" s="48"/>
      <c r="O55" s="48"/>
      <c r="P55" s="48"/>
      <c r="Q55" s="48"/>
    </row>
    <row r="56" spans="1:17" s="49" customFormat="1" ht="124.5" customHeight="1" x14ac:dyDescent="0.25">
      <c r="A56" s="103" t="str">
        <f t="shared" ref="A56:A59" si="14">9&amp;E56</f>
        <v>9b</v>
      </c>
      <c r="B56" s="217"/>
      <c r="C56" s="232"/>
      <c r="D56" s="214"/>
      <c r="E56" s="83" t="s">
        <v>36</v>
      </c>
      <c r="F56" s="85" t="s">
        <v>108</v>
      </c>
      <c r="G56" s="114" t="s">
        <v>75</v>
      </c>
      <c r="H56" s="162" t="s">
        <v>239</v>
      </c>
      <c r="I56" s="108" t="str">
        <f t="shared" si="2"/>
        <v>Oportunidad de mejora</v>
      </c>
      <c r="J56" s="105">
        <f t="shared" si="13"/>
        <v>100</v>
      </c>
      <c r="K56" s="110">
        <v>0.851234567</v>
      </c>
      <c r="L56" s="105">
        <f t="shared" si="3"/>
        <v>100.85123456700001</v>
      </c>
      <c r="M56" s="48"/>
      <c r="N56" s="48"/>
      <c r="O56" s="48"/>
      <c r="P56" s="48"/>
      <c r="Q56" s="48"/>
    </row>
    <row r="57" spans="1:17" s="49" customFormat="1" ht="111.75" customHeight="1" x14ac:dyDescent="0.25">
      <c r="A57" s="103" t="str">
        <f t="shared" si="14"/>
        <v>9c</v>
      </c>
      <c r="B57" s="217"/>
      <c r="C57" s="232"/>
      <c r="D57" s="214"/>
      <c r="E57" s="83" t="s">
        <v>39</v>
      </c>
      <c r="F57" s="85" t="s">
        <v>109</v>
      </c>
      <c r="G57" s="114" t="s">
        <v>75</v>
      </c>
      <c r="H57" s="162" t="s">
        <v>240</v>
      </c>
      <c r="I57" s="108" t="str">
        <f t="shared" si="2"/>
        <v>Oportunidad de mejora</v>
      </c>
      <c r="J57" s="105">
        <f t="shared" si="13"/>
        <v>100</v>
      </c>
      <c r="K57" s="110">
        <v>0.85123456779999995</v>
      </c>
      <c r="L57" s="105">
        <f t="shared" si="3"/>
        <v>100.85123456780001</v>
      </c>
      <c r="M57" s="48"/>
      <c r="N57" s="48"/>
      <c r="O57" s="48"/>
      <c r="P57" s="48"/>
      <c r="Q57" s="48"/>
    </row>
    <row r="58" spans="1:17" s="49" customFormat="1" ht="77.25" customHeight="1" x14ac:dyDescent="0.25">
      <c r="A58" s="103" t="str">
        <f t="shared" si="14"/>
        <v>9d</v>
      </c>
      <c r="B58" s="217"/>
      <c r="C58" s="232"/>
      <c r="D58" s="214"/>
      <c r="E58" s="83" t="s">
        <v>41</v>
      </c>
      <c r="F58" s="85" t="s">
        <v>110</v>
      </c>
      <c r="G58" s="114" t="s">
        <v>38</v>
      </c>
      <c r="H58" s="162" t="s">
        <v>242</v>
      </c>
      <c r="I58" s="108" t="str">
        <f t="shared" si="2"/>
        <v>Mantenimiento del control</v>
      </c>
      <c r="J58" s="105">
        <f t="shared" si="13"/>
        <v>120</v>
      </c>
      <c r="K58" s="110">
        <v>0.85123456788999996</v>
      </c>
      <c r="L58" s="105">
        <f t="shared" si="3"/>
        <v>120.85123456789</v>
      </c>
      <c r="M58" s="48"/>
      <c r="N58" s="48"/>
      <c r="O58" s="48"/>
      <c r="P58" s="48"/>
      <c r="Q58" s="48"/>
    </row>
    <row r="59" spans="1:17" s="49" customFormat="1" ht="105.75" customHeight="1" thickBot="1" x14ac:dyDescent="0.3">
      <c r="A59" s="103" t="str">
        <f t="shared" si="14"/>
        <v>9e</v>
      </c>
      <c r="B59" s="218"/>
      <c r="C59" s="232"/>
      <c r="D59" s="215"/>
      <c r="E59" s="86" t="s">
        <v>43</v>
      </c>
      <c r="F59" s="87" t="s">
        <v>111</v>
      </c>
      <c r="G59" s="115" t="s">
        <v>75</v>
      </c>
      <c r="H59" s="162" t="s">
        <v>241</v>
      </c>
      <c r="I59" s="109" t="str">
        <f t="shared" si="2"/>
        <v>Oportunidad de mejora</v>
      </c>
      <c r="J59" s="105">
        <f t="shared" si="13"/>
        <v>100</v>
      </c>
      <c r="K59" s="110">
        <v>0.85123456789100005</v>
      </c>
      <c r="L59" s="105">
        <f t="shared" si="3"/>
        <v>100.851234567891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B14:I14"/>
    <mergeCell ref="D43:D49"/>
    <mergeCell ref="B43:B49"/>
    <mergeCell ref="D50:D53"/>
    <mergeCell ref="B50:B53"/>
    <mergeCell ref="D16:D27"/>
    <mergeCell ref="B16:B27"/>
    <mergeCell ref="B28:B31"/>
    <mergeCell ref="D28:D31"/>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25" right="0.25" top="0.75" bottom="0.75" header="0.3" footer="0.3"/>
  <pageSetup scale="4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topLeftCell="A56" zoomScale="80" zoomScaleNormal="80" workbookViewId="0">
      <selection activeCell="M65" sqref="M65"/>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94" t="s">
        <v>112</v>
      </c>
      <c r="D7" s="295"/>
      <c r="E7" s="295"/>
      <c r="F7" s="295"/>
      <c r="G7" s="295"/>
      <c r="H7" s="295"/>
      <c r="I7" s="295"/>
      <c r="J7" s="295"/>
      <c r="K7" s="296"/>
    </row>
    <row r="8" spans="1:11" s="1" customFormat="1" ht="15.75" thickBot="1" x14ac:dyDescent="0.3">
      <c r="C8" s="39"/>
      <c r="D8" s="39"/>
      <c r="E8" s="40"/>
      <c r="F8" s="40"/>
      <c r="G8" s="40"/>
      <c r="H8" s="40"/>
      <c r="I8" s="50"/>
      <c r="J8" s="40"/>
      <c r="K8" s="40"/>
    </row>
    <row r="9" spans="1:11" ht="21" thickBot="1" x14ac:dyDescent="0.3">
      <c r="A9" s="1"/>
      <c r="B9" s="1"/>
      <c r="C9" s="196" t="s">
        <v>15</v>
      </c>
      <c r="D9" s="197"/>
      <c r="E9" s="197" t="s">
        <v>16</v>
      </c>
      <c r="F9" s="208"/>
      <c r="G9" s="40"/>
      <c r="H9" s="40"/>
      <c r="I9" s="50"/>
      <c r="J9" s="40"/>
      <c r="K9" s="40"/>
    </row>
    <row r="10" spans="1:11" ht="54" customHeight="1" x14ac:dyDescent="0.25">
      <c r="A10" s="1"/>
      <c r="B10" s="1"/>
      <c r="C10" s="209" t="s">
        <v>17</v>
      </c>
      <c r="D10" s="210"/>
      <c r="E10" s="211" t="s">
        <v>18</v>
      </c>
      <c r="F10" s="212"/>
      <c r="G10" s="41"/>
      <c r="H10" s="42">
        <v>1</v>
      </c>
      <c r="I10" s="50"/>
      <c r="J10" s="40"/>
      <c r="K10" s="40"/>
    </row>
    <row r="11" spans="1:11" ht="46.5" customHeight="1" x14ac:dyDescent="0.25">
      <c r="A11" s="1"/>
      <c r="B11" s="1"/>
      <c r="C11" s="198" t="s">
        <v>19</v>
      </c>
      <c r="D11" s="199"/>
      <c r="E11" s="200" t="s">
        <v>113</v>
      </c>
      <c r="F11" s="201"/>
      <c r="G11" s="43" t="s">
        <v>114</v>
      </c>
      <c r="H11" s="42">
        <v>0.75</v>
      </c>
      <c r="I11" s="50"/>
      <c r="J11" s="40"/>
      <c r="K11" s="40"/>
    </row>
    <row r="12" spans="1:11" ht="70.5" customHeight="1" thickBot="1" x14ac:dyDescent="0.3">
      <c r="A12" s="1"/>
      <c r="B12" s="1"/>
      <c r="C12" s="202" t="s">
        <v>21</v>
      </c>
      <c r="D12" s="203"/>
      <c r="E12" s="204" t="s">
        <v>115</v>
      </c>
      <c r="F12" s="205"/>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86" t="s">
        <v>116</v>
      </c>
      <c r="D17" s="288" t="s">
        <v>117</v>
      </c>
      <c r="E17" s="289"/>
      <c r="F17" s="290" t="s">
        <v>118</v>
      </c>
      <c r="G17" s="292" t="s">
        <v>119</v>
      </c>
      <c r="H17" s="38"/>
      <c r="I17" s="281" t="s">
        <v>120</v>
      </c>
      <c r="J17" s="281" t="s">
        <v>121</v>
      </c>
    </row>
    <row r="18" spans="1:10" ht="36" customHeight="1" thickBot="1" x14ac:dyDescent="0.3">
      <c r="A18" s="1"/>
      <c r="B18" s="1"/>
      <c r="C18" s="287"/>
      <c r="D18" s="117" t="s">
        <v>122</v>
      </c>
      <c r="E18" s="118" t="s">
        <v>27</v>
      </c>
      <c r="F18" s="291"/>
      <c r="G18" s="293"/>
      <c r="H18" s="38"/>
      <c r="I18" s="282"/>
      <c r="J18" s="282"/>
    </row>
    <row r="19" spans="1:10" ht="65.25" customHeight="1" x14ac:dyDescent="0.25">
      <c r="A19" s="1"/>
      <c r="B19" s="1"/>
      <c r="C19" s="136">
        <v>1</v>
      </c>
      <c r="D19" s="283" t="s">
        <v>32</v>
      </c>
      <c r="E19" s="119" t="str">
        <f>+IFERROR(INDEX(Hoja1!$E$2:$E$45,MATCH('Análisis Resultados'!C19,Hoja1!$H$2:$H$45,0)),"")</f>
        <v>Documento interno o adopción del MECI actualizado</v>
      </c>
      <c r="F19" s="120" t="str">
        <f>+IFERROR(VLOOKUP(C19,Hoja1!$H$2:$I$45,2,0),"")</f>
        <v>En proceso</v>
      </c>
      <c r="G19" s="121"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37">
        <f>+IF(F19="Si",1,IF(F19="En proceso",0.5,0))</f>
        <v>0.5</v>
      </c>
      <c r="J19" s="265">
        <f>+AVERAGE(I19:I30)</f>
        <v>0.95833333333333337</v>
      </c>
    </row>
    <row r="20" spans="1:10" ht="57" x14ac:dyDescent="0.25">
      <c r="A20" s="1"/>
      <c r="B20" s="1"/>
      <c r="C20" s="136">
        <v>2</v>
      </c>
      <c r="D20" s="284"/>
      <c r="E20" s="122" t="str">
        <f>+IFERROR(INDEX(Hoja1!$E$2:$E$45,MATCH('Análisis Resultados'!C20,Hoja1!$H$2:$H$45,0)),"")</f>
        <v>Un documento tal como un código de ética, integridad u otro que formalice los estándares de conducta, los principios institucionales o los valores del servicio público</v>
      </c>
      <c r="F20" s="123" t="str">
        <f>+IFERROR(VLOOKUP(C20,Hoja1!$H$2:$I$45,2,0),"")</f>
        <v>Si</v>
      </c>
      <c r="G20" s="124"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38">
        <f t="shared" ref="I20:I62" si="1">+IF(F20="Si",1,IF(F20="En proceso",0.5,0))</f>
        <v>1</v>
      </c>
      <c r="J20" s="266"/>
    </row>
    <row r="21" spans="1:10" ht="45" x14ac:dyDescent="0.25">
      <c r="A21" s="1"/>
      <c r="B21" s="1"/>
      <c r="C21" s="136">
        <v>3</v>
      </c>
      <c r="D21" s="284"/>
      <c r="E21" s="122" t="str">
        <f>+IFERROR(INDEX(Hoja1!$E$2:$E$45,MATCH('Análisis Resultados'!C21,Hoja1!$H$2:$H$45,0)),"")</f>
        <v>Planes, programas y proyectos de acuerdo con las normas que rigen y atendiendo con su propósito fundamental institucional (misión)</v>
      </c>
      <c r="F21" s="123" t="str">
        <f>+IFERROR(VLOOKUP(C21,Hoja1!$H$2:$I$45,2,0),"")</f>
        <v>Si</v>
      </c>
      <c r="G21" s="124" t="str">
        <f t="shared" si="0"/>
        <v>Existe requerimiento pero se requiere actividades  dirigidas a su mantenimiento dentro del marco de las lineas de defensa.</v>
      </c>
      <c r="H21" s="18"/>
      <c r="I21" s="138">
        <f t="shared" si="1"/>
        <v>1</v>
      </c>
      <c r="J21" s="266"/>
    </row>
    <row r="22" spans="1:10" ht="56.25" customHeight="1" x14ac:dyDescent="0.25">
      <c r="A22" s="1"/>
      <c r="B22" s="1"/>
      <c r="C22" s="136">
        <v>4</v>
      </c>
      <c r="D22" s="284"/>
      <c r="E22" s="122" t="str">
        <f>+IFERROR(INDEX(Hoja1!$E$2:$E$45,MATCH('Análisis Resultados'!C22,Hoja1!$H$2:$H$45,0)),"")</f>
        <v>Una estructura organizacional formalizada (organigrama)</v>
      </c>
      <c r="F22" s="123" t="str">
        <f>+IFERROR(VLOOKUP(C22,Hoja1!$H$2:$I$45,2,0),"")</f>
        <v>Si</v>
      </c>
      <c r="G22" s="124" t="str">
        <f t="shared" si="0"/>
        <v>Existe requerimiento pero se requiere actividades  dirigidas a su mantenimiento dentro del marco de las lineas de defensa.</v>
      </c>
      <c r="H22" s="18"/>
      <c r="I22" s="138">
        <f t="shared" si="1"/>
        <v>1</v>
      </c>
      <c r="J22" s="266"/>
    </row>
    <row r="23" spans="1:10" ht="45" x14ac:dyDescent="0.25">
      <c r="A23" s="1"/>
      <c r="B23" s="1"/>
      <c r="C23" s="136">
        <v>5</v>
      </c>
      <c r="D23" s="284"/>
      <c r="E23" s="122" t="str">
        <f>+IFERROR(INDEX(Hoja1!$E$2:$E$45,MATCH('Análisis Resultados'!C23,Hoja1!$H$2:$H$45,0)),"")</f>
        <v>Un manual de funciones que describa los empleos de la entidad</v>
      </c>
      <c r="F23" s="123" t="str">
        <f>+IFERROR(VLOOKUP(C23,Hoja1!$H$2:$I$45,2,0),"")</f>
        <v>Si</v>
      </c>
      <c r="G23" s="124" t="str">
        <f t="shared" si="0"/>
        <v>Existe requerimiento pero se requiere actividades  dirigidas a su mantenimiento dentro del marco de las lineas de defensa.</v>
      </c>
      <c r="H23" s="18"/>
      <c r="I23" s="138">
        <f t="shared" si="1"/>
        <v>1</v>
      </c>
      <c r="J23" s="266"/>
    </row>
    <row r="24" spans="1:10" ht="45" x14ac:dyDescent="0.25">
      <c r="A24" s="1"/>
      <c r="B24" s="1"/>
      <c r="C24" s="136">
        <v>6</v>
      </c>
      <c r="D24" s="284"/>
      <c r="E24" s="122" t="str">
        <f>+IFERROR(INDEX(Hoja1!$E$2:$E$45,MATCH('Análisis Resultados'!C24,Hoja1!$H$2:$H$45,0)),"")</f>
        <v>La documentación de sus procesos y procedimientos o bien una lista de actividades principales que permitan conocer el estado de su gestión</v>
      </c>
      <c r="F24" s="123" t="str">
        <f>+IFERROR(VLOOKUP(C24,Hoja1!$H$2:$I$45,2,0),"")</f>
        <v>Si</v>
      </c>
      <c r="G24" s="124" t="str">
        <f t="shared" si="0"/>
        <v>Existe requerimiento pero se requiere actividades  dirigidas a su mantenimiento dentro del marco de las lineas de defensa.</v>
      </c>
      <c r="H24" s="18"/>
      <c r="I24" s="138">
        <f t="shared" si="1"/>
        <v>1</v>
      </c>
      <c r="J24" s="266"/>
    </row>
    <row r="25" spans="1:10" ht="45" x14ac:dyDescent="0.25">
      <c r="A25" s="1"/>
      <c r="B25" s="1"/>
      <c r="C25" s="136">
        <v>7</v>
      </c>
      <c r="D25" s="284"/>
      <c r="E25" s="122" t="str">
        <f>+IFERROR(INDEX(Hoja1!$E$2:$E$45,MATCH('Análisis Resultados'!C25,Hoja1!$H$2:$H$45,0)),"")</f>
        <v>Vinculación de los servidores públicos de acuerdo con el marco normativo que les rige (carrera administrativa, libre nombramiento y remoción, entre otros)</v>
      </c>
      <c r="F25" s="123" t="str">
        <f>+IFERROR(VLOOKUP(C25,Hoja1!$H$2:$I$45,2,0),"")</f>
        <v>Si</v>
      </c>
      <c r="G25" s="124" t="str">
        <f t="shared" si="0"/>
        <v>Existe requerimiento pero se requiere actividades  dirigidas a su mantenimiento dentro del marco de las lineas de defensa.</v>
      </c>
      <c r="H25" s="18"/>
      <c r="I25" s="138">
        <f t="shared" si="1"/>
        <v>1</v>
      </c>
      <c r="J25" s="266"/>
    </row>
    <row r="26" spans="1:10" ht="45" x14ac:dyDescent="0.25">
      <c r="A26" s="1"/>
      <c r="B26" s="1"/>
      <c r="C26" s="136">
        <v>8</v>
      </c>
      <c r="D26" s="284"/>
      <c r="E26" s="122" t="str">
        <f>+IFERROR(INDEX(Hoja1!$E$2:$E$45,MATCH('Análisis Resultados'!C26,Hoja1!$H$2:$H$45,0)),"")</f>
        <v>Procesos de inducción, capacitación y bienestar social para sus servidores públicos, de manera directa o en asociación con otras entidades municipales</v>
      </c>
      <c r="F26" s="123" t="str">
        <f>+IFERROR(VLOOKUP(C26,Hoja1!$H$2:$I$45,2,0),"")</f>
        <v>Si</v>
      </c>
      <c r="G26" s="124" t="str">
        <f t="shared" si="0"/>
        <v>Existe requerimiento pero se requiere actividades  dirigidas a su mantenimiento dentro del marco de las lineas de defensa.</v>
      </c>
      <c r="H26" s="18"/>
      <c r="I26" s="138">
        <f t="shared" si="1"/>
        <v>1</v>
      </c>
      <c r="J26" s="266"/>
    </row>
    <row r="27" spans="1:10" ht="45" x14ac:dyDescent="0.25">
      <c r="A27" s="1"/>
      <c r="B27" s="1"/>
      <c r="C27" s="136">
        <v>9</v>
      </c>
      <c r="D27" s="284"/>
      <c r="E27" s="122" t="str">
        <f>+IFERROR(INDEX(Hoja1!$E$2:$E$45,MATCH('Análisis Resultados'!C27,Hoja1!$H$2:$H$45,0)),"")</f>
        <v>Evaluación a los servidores públicos de acuerdo con el marco normativo que le rige</v>
      </c>
      <c r="F27" s="123" t="str">
        <f>+IFERROR(VLOOKUP(C27,Hoja1!$H$2:$I$45,2,0),"")</f>
        <v>Si</v>
      </c>
      <c r="G27" s="124" t="str">
        <f t="shared" si="0"/>
        <v>Existe requerimiento pero se requiere actividades  dirigidas a su mantenimiento dentro del marco de las lineas de defensa.</v>
      </c>
      <c r="H27" s="18"/>
      <c r="I27" s="138">
        <f t="shared" si="1"/>
        <v>1</v>
      </c>
      <c r="J27" s="266"/>
    </row>
    <row r="28" spans="1:10" ht="45" x14ac:dyDescent="0.25">
      <c r="A28" s="1"/>
      <c r="B28" s="1"/>
      <c r="C28" s="136">
        <v>10</v>
      </c>
      <c r="D28" s="284"/>
      <c r="E28" s="122" t="str">
        <f>+IFERROR(INDEX(Hoja1!$E$2:$E$45,MATCH('Análisis Resultados'!C28,Hoja1!$H$2:$H$45,0)),"")</f>
        <v>Procesos de desvinculación de servidores de acuerdo con lo previsto en la Constitución Política y las leyes</v>
      </c>
      <c r="F28" s="123" t="str">
        <f>+IFERROR(VLOOKUP(C28,Hoja1!$H$2:$I$45,2,0),"")</f>
        <v>Si</v>
      </c>
      <c r="G28" s="124" t="str">
        <f t="shared" si="0"/>
        <v>Existe requerimiento pero se requiere actividades  dirigidas a su mantenimiento dentro del marco de las lineas de defensa.</v>
      </c>
      <c r="H28" s="18"/>
      <c r="I28" s="138">
        <f t="shared" si="1"/>
        <v>1</v>
      </c>
      <c r="J28" s="266"/>
    </row>
    <row r="29" spans="1:10" ht="45" x14ac:dyDescent="0.25">
      <c r="A29" s="1"/>
      <c r="B29" s="1"/>
      <c r="C29" s="136">
        <v>11</v>
      </c>
      <c r="D29" s="284"/>
      <c r="E29" s="122" t="str">
        <f>+IFERROR(INDEX(Hoja1!$E$2:$E$45,MATCH('Análisis Resultados'!C29,Hoja1!$H$2:$H$45,0)),"")</f>
        <v>Mecanismos de rendición de cuentas a la ciudadanía</v>
      </c>
      <c r="F29" s="123" t="str">
        <f>+IFERROR(VLOOKUP(C29,Hoja1!$H$2:$I$45,2,0),"")</f>
        <v>Si</v>
      </c>
      <c r="G29" s="124"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8">
        <f t="shared" si="1"/>
        <v>1</v>
      </c>
      <c r="J29" s="266"/>
    </row>
    <row r="30" spans="1:10" ht="45.75" thickBot="1" x14ac:dyDescent="0.3">
      <c r="A30" s="1"/>
      <c r="B30" s="1"/>
      <c r="C30" s="136">
        <v>12</v>
      </c>
      <c r="D30" s="285"/>
      <c r="E30" s="125" t="str">
        <f>+IFERROR(INDEX(Hoja1!$E$2:$E$45,MATCH('Análisis Resultados'!C30,Hoja1!$H$2:$H$45,0)),"")</f>
        <v>Presentación oportuna de sus informes de gestión a las autoridades competentes</v>
      </c>
      <c r="F30" s="126" t="str">
        <f>+IFERROR(VLOOKUP(C30,Hoja1!$H$2:$I$45,2,0),"")</f>
        <v>Si</v>
      </c>
      <c r="G30" s="127" t="str">
        <f t="shared" si="0"/>
        <v>Existe requerimiento pero se requiere actividades  dirigidas a su mantenimiento dentro del marco de las lineas de defensa.</v>
      </c>
      <c r="H30" s="18"/>
      <c r="I30" s="139">
        <f t="shared" si="1"/>
        <v>1</v>
      </c>
      <c r="J30" s="267"/>
    </row>
    <row r="31" spans="1:10" ht="45" customHeight="1" x14ac:dyDescent="0.25">
      <c r="A31" s="1"/>
      <c r="B31" s="1"/>
      <c r="C31" s="136">
        <v>13</v>
      </c>
      <c r="D31" s="279" t="s">
        <v>60</v>
      </c>
      <c r="E31" s="119" t="str">
        <f>+IFERROR(INDEX(Hoja1!$E$2:$E$45,MATCH('Análisis Resultados'!C31,Hoja1!$H$2:$H$45,0)),"")</f>
        <v>Hacen seguimiento a los problemas (riesgos)  que pueden afectar el cumplimiento de sus procesos, programas o proyectos a cargo</v>
      </c>
      <c r="F31" s="120" t="str">
        <f>+IFERROR(VLOOKUP(C31,Hoja1!$H$2:$I$45,2,0),"")</f>
        <v>En proceso</v>
      </c>
      <c r="G31" s="121" t="str">
        <f t="shared" si="0"/>
        <v>Se encuentra en proceso, pero requiere continuar con acciones dirigidas a contar con dicho aspecto de control.</v>
      </c>
      <c r="H31" s="18"/>
      <c r="I31" s="137">
        <f t="shared" si="1"/>
        <v>0.5</v>
      </c>
      <c r="J31" s="263">
        <f>+AVERAGE(I31:I40)</f>
        <v>0.85</v>
      </c>
    </row>
    <row r="32" spans="1:10" ht="57" customHeight="1" x14ac:dyDescent="0.25">
      <c r="A32" s="1"/>
      <c r="B32" s="1"/>
      <c r="C32" s="136">
        <v>14</v>
      </c>
      <c r="D32" s="280"/>
      <c r="E32" s="122" t="str">
        <f>+IFERROR(INDEX(Hoja1!$E$2:$E$45,MATCH('Análisis Resultados'!C32,Hoja1!$H$2:$H$45,0)),"")</f>
        <v>Informan de manera periódica a quien corresponda sobre el desempeño de las actividades de gestión de riesgos</v>
      </c>
      <c r="F32" s="123" t="str">
        <f>+IFERROR(VLOOKUP(C32,Hoja1!$H$2:$I$45,2,0),"")</f>
        <v>En proceso</v>
      </c>
      <c r="G32" s="124" t="str">
        <f t="shared" si="0"/>
        <v>Se encuentra en proceso, pero requiere continuar con acciones dirigidas a contar con dicho aspecto de control.</v>
      </c>
      <c r="H32" s="18"/>
      <c r="I32" s="138">
        <f t="shared" si="1"/>
        <v>0.5</v>
      </c>
      <c r="J32" s="264"/>
    </row>
    <row r="33" spans="1:10" ht="54" customHeight="1" x14ac:dyDescent="0.25">
      <c r="A33" s="1"/>
      <c r="B33" s="1"/>
      <c r="C33" s="136">
        <v>15</v>
      </c>
      <c r="D33" s="280"/>
      <c r="E33" s="122" t="str">
        <f>+IFERROR(INDEX(Hoja1!$E$2:$E$45,MATCH('Análisis Resultados'!C33,Hoja1!$H$2:$H$45,0)),"")</f>
        <v>Cada líder del equipo autónomamente toma las acciones para solucionarlos.</v>
      </c>
      <c r="F33" s="123" t="str">
        <f>+IFERROR(VLOOKUP(C33,Hoja1!$H$2:$I$45,2,0),"")</f>
        <v>En proceso</v>
      </c>
      <c r="G33" s="124" t="str">
        <f t="shared" si="0"/>
        <v>Se encuentra en proceso, pero requiere continuar con acciones dirigidas a contar con dicho aspecto de control.</v>
      </c>
      <c r="H33" s="18"/>
      <c r="I33" s="138">
        <f t="shared" si="1"/>
        <v>0.5</v>
      </c>
      <c r="J33" s="264"/>
    </row>
    <row r="34" spans="1:10" ht="45" x14ac:dyDescent="0.25">
      <c r="A34" s="1"/>
      <c r="B34" s="1"/>
      <c r="C34" s="136">
        <v>16</v>
      </c>
      <c r="D34" s="280"/>
      <c r="E34" s="122" t="str">
        <f>+IFERROR(INDEX(Hoja1!$E$2:$E$45,MATCH('Análisis Resultados'!C34,Hoja1!$H$2:$H$45,0)),"")</f>
        <v>La identificación de cambios en su entorno que pueden generar consecuencias negativas en su gestión</v>
      </c>
      <c r="F34" s="123" t="str">
        <f>+IFERROR(VLOOKUP(C34,Hoja1!$H$2:$I$45,2,0),"")</f>
        <v>Si</v>
      </c>
      <c r="G34" s="124" t="str">
        <f t="shared" si="0"/>
        <v>Existe requerimiento pero se requiere actividades  dirigidas a su mantenimiento dentro del marco de las lineas de defensa.</v>
      </c>
      <c r="H34" s="18"/>
      <c r="I34" s="138">
        <f t="shared" si="1"/>
        <v>1</v>
      </c>
      <c r="J34" s="264"/>
    </row>
    <row r="35" spans="1:10" ht="67.5" customHeight="1" x14ac:dyDescent="0.25">
      <c r="A35" s="1"/>
      <c r="B35" s="1"/>
      <c r="C35" s="136">
        <v>17</v>
      </c>
      <c r="D35" s="280"/>
      <c r="E35" s="122" t="str">
        <f>+IFERROR(INDEX(Hoja1!$E$2:$E$45,MATCH('Análisis Resultados'!C35,Hoja1!$H$2:$H$45,0)),"")</f>
        <v>La identificación de aquellos problemas o aspectos que pueden afectar el cumplimiento de los planes de la entidad y en general su gestión institucional (riesgos)</v>
      </c>
      <c r="F35" s="123" t="str">
        <f>+IFERROR(VLOOKUP(C35,Hoja1!$H$2:$I$45,2,0),"")</f>
        <v>Si</v>
      </c>
      <c r="G35" s="124" t="str">
        <f t="shared" si="0"/>
        <v>Existe requerimiento pero se requiere actividades  dirigidas a su mantenimiento dentro del marco de las lineas de defensa.</v>
      </c>
      <c r="H35" s="18"/>
      <c r="I35" s="138">
        <f t="shared" si="1"/>
        <v>1</v>
      </c>
      <c r="J35" s="264"/>
    </row>
    <row r="36" spans="1:10" ht="45" x14ac:dyDescent="0.25">
      <c r="A36" s="1"/>
      <c r="B36" s="1"/>
      <c r="C36" s="136">
        <v>18</v>
      </c>
      <c r="D36" s="280"/>
      <c r="E36" s="122" t="str">
        <f>+IFERROR(INDEX(Hoja1!$E$2:$E$45,MATCH('Análisis Resultados'!C36,Hoja1!$H$2:$H$45,0)),"")</f>
        <v>La identificación  de los riesgos relacionados con posibles actos de corrupción en el ejercicio de sus funciones</v>
      </c>
      <c r="F36" s="123" t="str">
        <f>+IFERROR(VLOOKUP(C36,Hoja1!$H$2:$I$45,2,0),"")</f>
        <v>Si</v>
      </c>
      <c r="G36" s="124" t="str">
        <f t="shared" si="0"/>
        <v>Existe requerimiento pero se requiere actividades  dirigidas a su mantenimiento dentro del marco de las lineas de defensa.</v>
      </c>
      <c r="H36" s="18"/>
      <c r="I36" s="138">
        <f t="shared" si="1"/>
        <v>1</v>
      </c>
      <c r="J36" s="264"/>
    </row>
    <row r="37" spans="1:10" ht="57" customHeight="1" x14ac:dyDescent="0.25">
      <c r="A37" s="1"/>
      <c r="B37" s="1"/>
      <c r="C37" s="136">
        <v>19</v>
      </c>
      <c r="D37" s="280"/>
      <c r="E37" s="122" t="str">
        <f>+IFERROR(INDEX(Hoja1!$E$2:$E$45,MATCH('Análisis Resultados'!C37,Hoja1!$H$2:$H$45,0)),"")</f>
        <v>Si su capacidad e infraestructura lo permite, identificación de riesgos asociados a las tecnologías de la información y las comunicaciones</v>
      </c>
      <c r="F37" s="123" t="str">
        <f>+IFERROR(VLOOKUP(C37,Hoja1!$H$2:$I$45,2,0),"")</f>
        <v>Si</v>
      </c>
      <c r="G37" s="124" t="str">
        <f t="shared" si="0"/>
        <v>Existe requerimiento pero se requiere actividades  dirigidas a su mantenimiento dentro del marco de las lineas de defensa.</v>
      </c>
      <c r="H37" s="18"/>
      <c r="I37" s="138">
        <f t="shared" si="1"/>
        <v>1</v>
      </c>
      <c r="J37" s="264"/>
    </row>
    <row r="38" spans="1:10" ht="45" x14ac:dyDescent="0.25">
      <c r="A38" s="1"/>
      <c r="B38" s="1"/>
      <c r="C38" s="136">
        <v>20</v>
      </c>
      <c r="D38" s="280"/>
      <c r="E38" s="122" t="str">
        <f>+IFERROR(INDEX(Hoja1!$E$2:$E$45,MATCH('Análisis Resultados'!C38,Hoja1!$H$2:$H$45,0)),"")</f>
        <v>Identifican deficiencias en las maneras de  controlar los riesgos o problemas en sus procesos, programas o proyectos, y propone los ajustes necesarios</v>
      </c>
      <c r="F38" s="123" t="str">
        <f>+IFERROR(VLOOKUP(C38,Hoja1!$H$2:$I$45,2,0),"")</f>
        <v>Si</v>
      </c>
      <c r="G38" s="124" t="str">
        <f t="shared" si="0"/>
        <v>Existe requerimiento pero se requiere actividades  dirigidas a su mantenimiento dentro del marco de las lineas de defensa.</v>
      </c>
      <c r="H38" s="18"/>
      <c r="I38" s="138">
        <f t="shared" si="1"/>
        <v>1</v>
      </c>
      <c r="J38" s="264"/>
    </row>
    <row r="39" spans="1:10" ht="45" x14ac:dyDescent="0.25">
      <c r="A39" s="1"/>
      <c r="B39" s="1"/>
      <c r="C39" s="136">
        <v>21</v>
      </c>
      <c r="D39" s="280"/>
      <c r="E39" s="122" t="str">
        <f>+IFERROR(INDEX(Hoja1!$E$2:$E$45,MATCH('Análisis Resultados'!C39,Hoja1!$H$2:$H$45,0)),"")</f>
        <v>Se definen espacios de reunión para conocerlos y proponer acciones para su solución</v>
      </c>
      <c r="F39" s="123" t="str">
        <f>+IFERROR(VLOOKUP(C39,Hoja1!$H$2:$I$45,2,0),"")</f>
        <v>Si</v>
      </c>
      <c r="G39" s="124" t="str">
        <f t="shared" si="0"/>
        <v>Existe requerimiento pero se requiere actividades  dirigidas a su mantenimiento dentro del marco de las lineas de defensa.</v>
      </c>
      <c r="H39" s="18"/>
      <c r="I39" s="138">
        <f t="shared" si="1"/>
        <v>1</v>
      </c>
      <c r="J39" s="264"/>
    </row>
    <row r="40" spans="1:10" ht="45.75" thickBot="1" x14ac:dyDescent="0.3">
      <c r="A40" s="1"/>
      <c r="B40" s="1"/>
      <c r="C40" s="136">
        <v>22</v>
      </c>
      <c r="D40" s="280"/>
      <c r="E40" s="128" t="str">
        <f>+IFERROR(INDEX(Hoja1!$E$2:$E$45,MATCH('Análisis Resultados'!C40,Hoja1!$H$2:$H$45,0)),"")</f>
        <v>Solamente hasta que un organismo de control actúa se definen acciones de mejora.</v>
      </c>
      <c r="F40" s="129" t="str">
        <f>+IFERROR(VLOOKUP(C40,Hoja1!$H$2:$I$45,2,0),"")</f>
        <v>Si</v>
      </c>
      <c r="G40" s="130" t="str">
        <f t="shared" si="0"/>
        <v>Existe requerimiento pero se requiere actividades  dirigidas a su mantenimiento dentro del marco de las lineas de defensa.</v>
      </c>
      <c r="H40" s="18"/>
      <c r="I40" s="140">
        <f t="shared" si="1"/>
        <v>1</v>
      </c>
      <c r="J40" s="264"/>
    </row>
    <row r="41" spans="1:10" ht="87.75" customHeight="1" x14ac:dyDescent="0.25">
      <c r="A41" s="1"/>
      <c r="B41" s="1"/>
      <c r="C41" s="136">
        <v>23</v>
      </c>
      <c r="D41" s="275" t="s">
        <v>78</v>
      </c>
      <c r="E41" s="119" t="str">
        <f>+IFERROR(INDEX(Hoja1!$E$2:$E$45,MATCH('Análisis Resultados'!C41,Hoja1!$H$2:$H$45,0)),"")</f>
        <v>La definición de acciones o actividades para para dar tratamiento a los problemas identificados (mitigación de riesgos), incluyendo aquellos asociados a posibles actos de corrupción</v>
      </c>
      <c r="F41" s="120" t="str">
        <f>+IFERROR(VLOOKUP(C41,Hoja1!$H$2:$I$45,2,0),"")</f>
        <v>En proceso</v>
      </c>
      <c r="G41" s="121" t="str">
        <f t="shared" si="0"/>
        <v>Se encuentra en proceso, pero requiere continuar con acciones dirigidas a contar con dicho aspecto de control.</v>
      </c>
      <c r="H41" s="18"/>
      <c r="I41" s="137">
        <f t="shared" si="1"/>
        <v>0.5</v>
      </c>
      <c r="J41" s="263">
        <f>+AVERAGE(I41:I45)</f>
        <v>0.7</v>
      </c>
    </row>
    <row r="42" spans="1:10" ht="57" x14ac:dyDescent="0.25">
      <c r="A42" s="1"/>
      <c r="B42" s="1"/>
      <c r="C42" s="136">
        <v>24</v>
      </c>
      <c r="D42" s="276"/>
      <c r="E42" s="122" t="str">
        <f>+IFERROR(INDEX(Hoja1!$E$2:$E$45,MATCH('Análisis Resultados'!C42,Hoja1!$H$2:$H$45,0)),"")</f>
        <v>Mecanismos de verificación de si se están o no mitigando los riesgos, o en su defecto, elaboración de planes de contingencia para subsanar sus consecuencias</v>
      </c>
      <c r="F42" s="123" t="str">
        <f>+IFERROR(VLOOKUP(C42,Hoja1!$H$2:$I$45,2,0),"")</f>
        <v>En proceso</v>
      </c>
      <c r="G42" s="124" t="str">
        <f t="shared" si="0"/>
        <v>Se encuentra en proceso, pero requiere continuar con acciones dirigidas a contar con dicho aspecto de control.</v>
      </c>
      <c r="H42" s="18"/>
      <c r="I42" s="138">
        <f t="shared" si="1"/>
        <v>0.5</v>
      </c>
      <c r="J42" s="264"/>
    </row>
    <row r="43" spans="1:10" ht="85.5" customHeight="1" x14ac:dyDescent="0.25">
      <c r="A43" s="1"/>
      <c r="B43" s="1"/>
      <c r="C43" s="136">
        <v>25</v>
      </c>
      <c r="D43" s="276"/>
      <c r="E43" s="122" t="str">
        <f>+IFERROR(INDEX(Hoja1!$E$2:$E$45,MATCH('Análisis Resultados'!C43,Hoja1!$H$2:$H$45,0)),"")</f>
        <v>Planes, acciones o estrategias que permitan subsanar las consecuencias de la materialización de los riesgos, cuando se presentan</v>
      </c>
      <c r="F43" s="123" t="str">
        <f>+IFERROR(VLOOKUP(C43,Hoja1!$H$2:$I$45,2,0),"")</f>
        <v>En proceso</v>
      </c>
      <c r="G43" s="124" t="str">
        <f t="shared" si="0"/>
        <v>Se encuentra en proceso, pero requiere continuar con acciones dirigidas a contar con dicho aspecto de control.</v>
      </c>
      <c r="H43" s="18"/>
      <c r="I43" s="138">
        <f t="shared" si="1"/>
        <v>0.5</v>
      </c>
      <c r="J43" s="264"/>
    </row>
    <row r="44" spans="1:10" ht="57" customHeight="1" x14ac:dyDescent="0.25">
      <c r="A44" s="1"/>
      <c r="B44" s="1"/>
      <c r="C44" s="136">
        <v>26</v>
      </c>
      <c r="D44" s="276"/>
      <c r="E44" s="122"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123" t="str">
        <f>+IFERROR(VLOOKUP(C44,Hoja1!$H$2:$I$45,2,0),"")</f>
        <v>Si</v>
      </c>
      <c r="G44" s="124" t="str">
        <f t="shared" si="0"/>
        <v>Existe requerimiento pero se requiere actividades  dirigidas a su mantenimiento dentro del marco de las lineas de defensa.</v>
      </c>
      <c r="H44" s="18"/>
      <c r="I44" s="138">
        <f t="shared" si="1"/>
        <v>1</v>
      </c>
      <c r="J44" s="264"/>
    </row>
    <row r="45" spans="1:10" ht="57" customHeight="1" thickBot="1" x14ac:dyDescent="0.3">
      <c r="A45" s="1"/>
      <c r="B45" s="1"/>
      <c r="C45" s="136">
        <v>27</v>
      </c>
      <c r="D45" s="277"/>
      <c r="E45" s="125" t="str">
        <f>+IFERROR(INDEX(Hoja1!$E$2:$E$45,MATCH('Análisis Resultados'!C45,Hoja1!$H$2:$H$45,0)),"")</f>
        <v>Un plan anticorrupción y de servicio al ciudadano con los temas que le aplican, publicado en algún medio para conocimiento de la ciudadanía</v>
      </c>
      <c r="F45" s="126" t="str">
        <f>+IFERROR(VLOOKUP(C45,Hoja1!$H$2:$I$45,2,0),"")</f>
        <v>Si</v>
      </c>
      <c r="G45" s="127" t="str">
        <f t="shared" si="0"/>
        <v>Existe requerimiento pero se requiere actividades  dirigidas a su mantenimiento dentro del marco de las lineas de defensa.</v>
      </c>
      <c r="H45" s="18"/>
      <c r="I45" s="139">
        <f t="shared" si="1"/>
        <v>1</v>
      </c>
      <c r="J45" s="278"/>
    </row>
    <row r="46" spans="1:10" ht="63.75" customHeight="1" x14ac:dyDescent="0.25">
      <c r="A46" s="1"/>
      <c r="B46" s="1"/>
      <c r="C46" s="136">
        <v>28</v>
      </c>
      <c r="D46" s="274" t="s">
        <v>86</v>
      </c>
      <c r="E46" s="131" t="str">
        <f>+IFERROR(INDEX(Hoja1!$E$2:$E$45,MATCH('Análisis Resultados'!C46,Hoja1!$H$2:$H$45,0)),"")</f>
        <v>Identificación de información que produce en el marco de su gestión (Para los ciudadanos, organismos de control, organismos gubernamentales, entre otros)</v>
      </c>
      <c r="F46" s="132" t="str">
        <f>+IFERROR(VLOOKUP(C46,Hoja1!$H$2:$I$45,2,0),"")</f>
        <v>En proceso</v>
      </c>
      <c r="G46" s="133" t="str">
        <f t="shared" si="0"/>
        <v>Se encuentra en proceso, pero requiere continuar con acciones dirigidas a contar con dicho aspecto de control.</v>
      </c>
      <c r="H46" s="18"/>
      <c r="I46" s="141">
        <f t="shared" si="1"/>
        <v>0.5</v>
      </c>
      <c r="J46" s="264">
        <f>+AVERAGE(I46:I52)</f>
        <v>0.8571428571428571</v>
      </c>
    </row>
    <row r="47" spans="1:10" ht="92.25" customHeight="1" x14ac:dyDescent="0.25">
      <c r="A47" s="1"/>
      <c r="B47" s="1"/>
      <c r="C47" s="136">
        <v>29</v>
      </c>
      <c r="D47" s="274"/>
      <c r="E47" s="122" t="str">
        <f>+IFERROR(INDEX(Hoja1!$E$2:$E$45,MATCH('Análisis Resultados'!C47,Hoja1!$H$2:$H$45,0)),"")</f>
        <v>Identificación de información necesaria para la operación de la entidad (normograma, presupuesto, talento humano, infraestructura física y tecnológica)</v>
      </c>
      <c r="F47" s="123" t="str">
        <f>+IFERROR(VLOOKUP(C47,Hoja1!$H$2:$I$45,2,0),"")</f>
        <v>En proceso</v>
      </c>
      <c r="G47" s="134" t="str">
        <f t="shared" si="0"/>
        <v>Se encuentra en proceso, pero requiere continuar con acciones dirigidas a contar con dicho aspecto de control.</v>
      </c>
      <c r="H47" s="18"/>
      <c r="I47" s="142">
        <f t="shared" si="1"/>
        <v>0.5</v>
      </c>
      <c r="J47" s="264"/>
    </row>
    <row r="48" spans="1:10" ht="66.75" customHeight="1" x14ac:dyDescent="0.25">
      <c r="A48" s="1"/>
      <c r="B48" s="1"/>
      <c r="C48" s="136">
        <v>30</v>
      </c>
      <c r="D48" s="274"/>
      <c r="E48" s="122" t="str">
        <f>+IFERROR(INDEX(Hoja1!$E$2:$E$45,MATCH('Análisis Resultados'!C48,Hoja1!$H$2:$H$45,0)),"")</f>
        <v>Responsables de la información institucional</v>
      </c>
      <c r="F48" s="123" t="str">
        <f>+IFERROR(VLOOKUP(C48,Hoja1!$H$2:$I$45,2,0),"")</f>
        <v>Si</v>
      </c>
      <c r="G48" s="134" t="str">
        <f t="shared" si="0"/>
        <v>Existe requerimiento pero se requiere actividades  dirigidas a su mantenimiento dentro del marco de las lineas de defensa.</v>
      </c>
      <c r="H48" s="18"/>
      <c r="I48" s="142">
        <f t="shared" si="1"/>
        <v>1</v>
      </c>
      <c r="J48" s="264"/>
    </row>
    <row r="49" spans="1:10" ht="60" customHeight="1" x14ac:dyDescent="0.25">
      <c r="A49" s="1"/>
      <c r="B49" s="1"/>
      <c r="C49" s="136">
        <v>31</v>
      </c>
      <c r="D49" s="274"/>
      <c r="E49" s="122" t="str">
        <f>+IFERROR(INDEX(Hoja1!$E$2:$E$45,MATCH('Análisis Resultados'!C49,Hoja1!$H$2:$H$45,0)),"")</f>
        <v>Canales de comunicación con los ciudadanos</v>
      </c>
      <c r="F49" s="123" t="str">
        <f>+IFERROR(VLOOKUP(C49,Hoja1!$H$2:$I$45,2,0),"")</f>
        <v>Si</v>
      </c>
      <c r="G49" s="134" t="str">
        <f t="shared" si="0"/>
        <v>Existe requerimiento pero se requiere actividades  dirigidas a su mantenimiento dentro del marco de las lineas de defensa.</v>
      </c>
      <c r="H49" s="18"/>
      <c r="I49" s="142">
        <f t="shared" si="1"/>
        <v>1</v>
      </c>
      <c r="J49" s="264"/>
    </row>
    <row r="50" spans="1:10" ht="57" customHeight="1" x14ac:dyDescent="0.25">
      <c r="A50" s="1"/>
      <c r="B50" s="1"/>
      <c r="C50" s="136">
        <v>32</v>
      </c>
      <c r="D50" s="274"/>
      <c r="E50" s="122" t="str">
        <f>+IFERROR(INDEX(Hoja1!$E$2:$E$45,MATCH('Análisis Resultados'!C50,Hoja1!$H$2:$H$45,0)),"")</f>
        <v>Canales de comunicación o mecanismos de reporte de información a otros organismos gubernamentales o de control</v>
      </c>
      <c r="F50" s="123" t="str">
        <f>+IFERROR(VLOOKUP(C50,Hoja1!$H$2:$I$45,2,0),"")</f>
        <v>Si</v>
      </c>
      <c r="G50" s="134" t="str">
        <f t="shared" si="0"/>
        <v>Existe requerimiento pero se requiere actividades  dirigidas a su mantenimiento dentro del marco de las lineas de defensa.</v>
      </c>
      <c r="H50" s="18"/>
      <c r="I50" s="142">
        <f t="shared" si="1"/>
        <v>1</v>
      </c>
      <c r="J50" s="264"/>
    </row>
    <row r="51" spans="1:10" ht="57" customHeight="1" x14ac:dyDescent="0.25">
      <c r="A51" s="1"/>
      <c r="B51" s="1"/>
      <c r="C51" s="136">
        <v>33</v>
      </c>
      <c r="D51" s="274"/>
      <c r="E51" s="122" t="str">
        <f>+IFERROR(INDEX(Hoja1!$E$2:$E$45,MATCH('Análisis Resultados'!C51,Hoja1!$H$2:$H$45,0)),"")</f>
        <v xml:space="preserve">Lineamientos para dar tratamiento a la información de carácter reservado </v>
      </c>
      <c r="F51" s="123" t="str">
        <f>+IFERROR(VLOOKUP(C51,Hoja1!$H$2:$I$45,2,0),"")</f>
        <v>Si</v>
      </c>
      <c r="G51" s="134" t="str">
        <f t="shared" si="0"/>
        <v>Existe requerimiento pero se requiere actividades  dirigidas a su mantenimiento dentro del marco de las lineas de defensa.</v>
      </c>
      <c r="H51" s="18"/>
      <c r="I51" s="142">
        <f t="shared" si="1"/>
        <v>1</v>
      </c>
      <c r="J51" s="264"/>
    </row>
    <row r="52" spans="1:10" ht="45.75" thickBot="1" x14ac:dyDescent="0.3">
      <c r="A52" s="1"/>
      <c r="B52" s="1"/>
      <c r="C52" s="136">
        <v>34</v>
      </c>
      <c r="D52" s="274"/>
      <c r="E52" s="128" t="str">
        <f>+IFERROR(INDEX(Hoja1!$E$2:$E$45,MATCH('Análisis Resultados'!C52,Hoja1!$H$2:$H$45,0)),"")</f>
        <v>Si su capacidad e infraestructura lo permite, tecnologías de la información y las comunicaciones que soporten estos procesos</v>
      </c>
      <c r="F52" s="129" t="str">
        <f>+IFERROR(VLOOKUP(C52,Hoja1!$H$2:$I$45,2,0),"")</f>
        <v>Si</v>
      </c>
      <c r="G52" s="135" t="str">
        <f t="shared" si="0"/>
        <v>Existe requerimiento pero se requiere actividades  dirigidas a su mantenimiento dentro del marco de las lineas de defensa.</v>
      </c>
      <c r="H52" s="18"/>
      <c r="I52" s="143">
        <f t="shared" si="1"/>
        <v>1</v>
      </c>
      <c r="J52" s="264"/>
    </row>
    <row r="53" spans="1:10" ht="41.25" customHeight="1" x14ac:dyDescent="0.25">
      <c r="A53" s="1"/>
      <c r="B53" s="1"/>
      <c r="C53" s="136">
        <v>35</v>
      </c>
      <c r="D53" s="268" t="s">
        <v>96</v>
      </c>
      <c r="E53" s="119" t="str">
        <f>+IFERROR(INDEX(Hoja1!$E$2:$E$45,MATCH('Análisis Resultados'!C53,Hoja1!$H$2:$H$45,0)),"")</f>
        <v>Controlar los puntos críticos en los procesos.</v>
      </c>
      <c r="F53" s="120" t="str">
        <f>+IFERROR(VLOOKUP(C53,Hoja1!$H$2:$I$45,2,0),"")</f>
        <v>En proceso</v>
      </c>
      <c r="G53" s="121" t="str">
        <f t="shared" si="0"/>
        <v>Se encuentra en proceso, pero requiere continuar con acciones dirigidas a contar con dicho aspecto de control.</v>
      </c>
      <c r="H53" s="18"/>
      <c r="I53" s="137">
        <f t="shared" si="1"/>
        <v>0.5</v>
      </c>
      <c r="J53" s="271">
        <f>+AVERAGE(I53:I62)</f>
        <v>0.85</v>
      </c>
    </row>
    <row r="54" spans="1:10" ht="58.5" customHeight="1" x14ac:dyDescent="0.25">
      <c r="A54" s="1"/>
      <c r="B54" s="1"/>
      <c r="C54" s="136">
        <v>36</v>
      </c>
      <c r="D54" s="269"/>
      <c r="E54" s="122" t="str">
        <f>+IFERROR(INDEX(Hoja1!$E$2:$E$45,MATCH('Análisis Resultados'!C54,Hoja1!$H$2:$H$45,0)),"")</f>
        <v>Diseñar acciones adecuadas para controlar los problemas que afectan el cumplimiento de las metas y objetivos institucionales (riesgos).</v>
      </c>
      <c r="F54" s="123" t="str">
        <f>+IFERROR(VLOOKUP(C54,Hoja1!$H$2:$I$45,2,0),"")</f>
        <v>En proceso</v>
      </c>
      <c r="G54" s="124" t="str">
        <f t="shared" si="0"/>
        <v>Se encuentra en proceso, pero requiere continuar con acciones dirigidas a contar con dicho aspecto de control.</v>
      </c>
      <c r="H54" s="18"/>
      <c r="I54" s="138">
        <f t="shared" si="1"/>
        <v>0.5</v>
      </c>
      <c r="J54" s="272"/>
    </row>
    <row r="55" spans="1:10" s="1" customFormat="1" ht="84.75" customHeight="1" x14ac:dyDescent="0.25">
      <c r="C55" s="136">
        <v>37</v>
      </c>
      <c r="D55" s="269"/>
      <c r="E55" s="122" t="str">
        <f>+IFERROR(INDEX(Hoja1!$E$2:$E$45,MATCH('Análisis Resultados'!C55,Hoja1!$H$2:$H$45,0)),"")</f>
        <v>No se gestionan los problemas que afectan el cumplimiento de las funciones y objetivos institucionales(riesgos).</v>
      </c>
      <c r="F55" s="123" t="str">
        <f>+IFERROR(VLOOKUP(C55,Hoja1!$H$2:$I$45,2,0),"")</f>
        <v>En proceso</v>
      </c>
      <c r="G55" s="124" t="str">
        <f t="shared" si="0"/>
        <v>Se encuentra en proceso, pero requiere continuar con acciones dirigidas a contar con dicho aspecto de control.</v>
      </c>
      <c r="H55" s="6"/>
      <c r="I55" s="138">
        <f t="shared" si="1"/>
        <v>0.5</v>
      </c>
      <c r="J55" s="272"/>
    </row>
    <row r="56" spans="1:10" s="1" customFormat="1" ht="78.75" customHeight="1" x14ac:dyDescent="0.25">
      <c r="C56" s="136">
        <v>38</v>
      </c>
      <c r="D56" s="269"/>
      <c r="E56" s="122" t="str">
        <f>+IFERROR(INDEX(Hoja1!$E$2:$E$45,MATCH('Análisis Resultados'!C56,Hoja1!$H$2:$H$45,0)),"")</f>
        <v>Mecanismos de evaluación de la gestión (cronogramas, indicadores, listas de chequeo u otros)</v>
      </c>
      <c r="F56" s="123" t="str">
        <f>+IFERROR(VLOOKUP(C56,Hoja1!$H$2:$I$45,2,0),"")</f>
        <v>Si</v>
      </c>
      <c r="G56" s="124" t="str">
        <f t="shared" si="0"/>
        <v>Existe requerimiento pero se requiere actividades  dirigidas a su mantenimiento dentro del marco de las lineas de defensa.</v>
      </c>
      <c r="H56" s="6"/>
      <c r="I56" s="138">
        <f t="shared" si="1"/>
        <v>1</v>
      </c>
      <c r="J56" s="272"/>
    </row>
    <row r="57" spans="1:10" s="1" customFormat="1" ht="54.75" customHeight="1" x14ac:dyDescent="0.25">
      <c r="C57" s="136">
        <v>39</v>
      </c>
      <c r="D57" s="269"/>
      <c r="E57" s="122" t="str">
        <f>+IFERROR(INDEX(Hoja1!$E$2:$E$45,MATCH('Análisis Resultados'!C57,Hoja1!$H$2:$H$45,0)),"")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7" s="123" t="str">
        <f>+IFERROR(VLOOKUP(C57,Hoja1!$H$2:$I$45,2,0),"")</f>
        <v>Si</v>
      </c>
      <c r="G57" s="124" t="str">
        <f t="shared" si="0"/>
        <v>Existe requerimiento pero se requiere actividades  dirigidas a su mantenimiento dentro del marco de las lineas de defensa.</v>
      </c>
      <c r="H57" s="6"/>
      <c r="I57" s="138">
        <f t="shared" si="1"/>
        <v>1</v>
      </c>
      <c r="J57" s="272"/>
    </row>
    <row r="58" spans="1:10" s="1" customFormat="1" ht="68.25" customHeight="1" x14ac:dyDescent="0.25">
      <c r="C58" s="136">
        <v>40</v>
      </c>
      <c r="D58" s="269"/>
      <c r="E58" s="122" t="str">
        <f>+IFERROR(INDEX(Hoja1!$E$2:$E$45,MATCH('Análisis Resultados'!C58,Hoja1!$H$2:$H$45,0)),"")</f>
        <v>Medidas correctivas en caso de detectarse deficiencias en los ejercicios de evaluación, seguimiento o auditoría</v>
      </c>
      <c r="F58" s="123" t="str">
        <f>+IFERROR(VLOOKUP(C58,Hoja1!$H$2:$I$45,2,0),"")</f>
        <v>Si</v>
      </c>
      <c r="G58" s="124" t="str">
        <f t="shared" si="0"/>
        <v>Existe requerimiento pero se requiere actividades  dirigidas a su mantenimiento dentro del marco de las lineas de defensa.</v>
      </c>
      <c r="H58" s="6"/>
      <c r="I58" s="138">
        <f t="shared" si="1"/>
        <v>1</v>
      </c>
      <c r="J58" s="272"/>
    </row>
    <row r="59" spans="1:10" s="1" customFormat="1" ht="45" customHeight="1" x14ac:dyDescent="0.25">
      <c r="C59" s="136">
        <v>41</v>
      </c>
      <c r="D59" s="269"/>
      <c r="E59" s="122" t="str">
        <f>+IFERROR(INDEX(Hoja1!$E$2:$E$45,MATCH('Análisis Resultados'!C59,Hoja1!$H$2:$H$45,0)),"")</f>
        <v>Seguimiento a los planes de mejoramiento suscritos con instancias de control internas o externas</v>
      </c>
      <c r="F59" s="123" t="str">
        <f>+IFERROR(VLOOKUP(C59,Hoja1!$H$2:$I$45,2,0),"")</f>
        <v>Si</v>
      </c>
      <c r="G59" s="124" t="str">
        <f t="shared" si="0"/>
        <v>Existe requerimiento pero se requiere actividades  dirigidas a su mantenimiento dentro del marco de las lineas de defensa.</v>
      </c>
      <c r="H59" s="6"/>
      <c r="I59" s="138">
        <f t="shared" si="1"/>
        <v>1</v>
      </c>
      <c r="J59" s="272"/>
    </row>
    <row r="60" spans="1:10" s="1" customFormat="1" ht="51.75" customHeight="1" x14ac:dyDescent="0.25">
      <c r="C60" s="136">
        <v>42</v>
      </c>
      <c r="D60" s="269"/>
      <c r="E60" s="122" t="str">
        <f>+IFERROR(INDEX(Hoja1!$E$2:$E$45,MATCH('Análisis Resultados'!C60,Hoja1!$H$2:$H$45,0)),"")</f>
        <v>La entidad participa en el  Comité Municipal de Auditoría?</v>
      </c>
      <c r="F60" s="123" t="str">
        <f>+IFERROR(VLOOKUP(C60,Hoja1!$H$2:$I$45,2,0),"")</f>
        <v>Si</v>
      </c>
      <c r="G60" s="124" t="str">
        <f t="shared" si="0"/>
        <v>Existe requerimiento pero se requiere actividades  dirigidas a su mantenimiento dentro del marco de las lineas de defensa.</v>
      </c>
      <c r="H60" s="6"/>
      <c r="I60" s="138">
        <f t="shared" si="1"/>
        <v>1</v>
      </c>
      <c r="J60" s="272"/>
    </row>
    <row r="61" spans="1:10" s="1" customFormat="1" ht="84" customHeight="1" x14ac:dyDescent="0.25">
      <c r="C61" s="136">
        <v>43</v>
      </c>
      <c r="D61" s="269"/>
      <c r="E61" s="122" t="str">
        <f>+IFERROR(INDEX(Hoja1!$E$2:$E$45,MATCH('Análisis Resultados'!C61,Hoja1!$H$2:$H$45,0)),"")</f>
        <v>Evitar que los problemas (riesgos) obstaculicen el cumplimiento de los objetivos.</v>
      </c>
      <c r="F61" s="123" t="str">
        <f>+IFERROR(VLOOKUP(C61,Hoja1!$H$2:$I$45,2,0),"")</f>
        <v>Si</v>
      </c>
      <c r="G61" s="124" t="str">
        <f t="shared" si="0"/>
        <v>Existe requerimiento pero se requiere actividades  dirigidas a su mantenimiento dentro del marco de las lineas de defensa.</v>
      </c>
      <c r="H61" s="6"/>
      <c r="I61" s="138">
        <f t="shared" si="1"/>
        <v>1</v>
      </c>
      <c r="J61" s="272"/>
    </row>
    <row r="62" spans="1:10" s="1" customFormat="1" ht="60" customHeight="1" thickBot="1" x14ac:dyDescent="0.3">
      <c r="C62" s="136">
        <v>44</v>
      </c>
      <c r="D62" s="270"/>
      <c r="E62" s="125" t="str">
        <f>+IFERROR(INDEX(Hoja1!$E$2:$E$45,MATCH('Análisis Resultados'!C62,Hoja1!$H$2:$H$45,0)),"")</f>
        <v>Ejecutar las acciones de acuerdo a como se diseñaron previamente.</v>
      </c>
      <c r="F62" s="126" t="str">
        <f>+IFERROR(VLOOKUP(C62,Hoja1!$H$2:$I$45,2,0),"")</f>
        <v>Si</v>
      </c>
      <c r="G62" s="127" t="str">
        <f t="shared" si="0"/>
        <v>Existe requerimiento pero se requiere actividades  dirigidas a su mantenimiento dentro del marco de las lineas de defensa.</v>
      </c>
      <c r="H62" s="6"/>
      <c r="I62" s="139">
        <f t="shared" si="1"/>
        <v>1</v>
      </c>
      <c r="J62" s="273"/>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C7:K7"/>
    <mergeCell ref="C9:D9"/>
    <mergeCell ref="E9:F9"/>
    <mergeCell ref="C10:D10"/>
    <mergeCell ref="E10:F10"/>
    <mergeCell ref="C11:D11"/>
    <mergeCell ref="E11:F11"/>
    <mergeCell ref="J17:J18"/>
    <mergeCell ref="D19:D30"/>
    <mergeCell ref="C17:C18"/>
    <mergeCell ref="D17:E17"/>
    <mergeCell ref="F17:F18"/>
    <mergeCell ref="G17:G18"/>
    <mergeCell ref="I17:I18"/>
    <mergeCell ref="J31:J40"/>
    <mergeCell ref="C12:D12"/>
    <mergeCell ref="E12:F12"/>
    <mergeCell ref="J19:J30"/>
    <mergeCell ref="D53:D62"/>
    <mergeCell ref="J53:J62"/>
    <mergeCell ref="D46:D52"/>
    <mergeCell ref="J46:J52"/>
    <mergeCell ref="D41:D45"/>
    <mergeCell ref="J41:J45"/>
    <mergeCell ref="D31:D4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25" right="0.25" top="0.75" bottom="0.75" header="0.3" footer="0.3"/>
  <pageSetup scale="55" orientation="landscape" r:id="rId1"/>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zoomScale="55" zoomScaleNormal="55" workbookViewId="0">
      <selection activeCell="F21" sqref="F21:M21"/>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01" t="s">
        <v>123</v>
      </c>
      <c r="F4" s="303" t="s">
        <v>213</v>
      </c>
      <c r="G4" s="303"/>
      <c r="H4" s="303"/>
      <c r="I4" s="303"/>
      <c r="J4" s="303"/>
      <c r="K4" s="303"/>
      <c r="L4" s="303"/>
      <c r="M4" s="303"/>
      <c r="N4" s="7"/>
      <c r="O4" s="7"/>
      <c r="P4" s="8"/>
      <c r="Q4" s="1"/>
    </row>
    <row r="5" spans="1:17" ht="33" customHeight="1" x14ac:dyDescent="0.3">
      <c r="A5" s="1"/>
      <c r="B5" s="5"/>
      <c r="C5" s="6"/>
      <c r="D5" s="6"/>
      <c r="E5" s="302"/>
      <c r="F5" s="303"/>
      <c r="G5" s="303"/>
      <c r="H5" s="303"/>
      <c r="I5" s="303"/>
      <c r="J5" s="303"/>
      <c r="K5" s="303"/>
      <c r="L5" s="303"/>
      <c r="M5" s="303"/>
      <c r="N5" s="7"/>
      <c r="O5" s="7"/>
      <c r="P5" s="8"/>
      <c r="Q5" s="1"/>
    </row>
    <row r="6" spans="1:17" ht="39.75" customHeight="1" x14ac:dyDescent="0.3">
      <c r="A6" s="1"/>
      <c r="B6" s="5"/>
      <c r="C6" s="6"/>
      <c r="D6" s="6"/>
      <c r="E6" s="96" t="s">
        <v>124</v>
      </c>
      <c r="F6" s="304" t="s">
        <v>243</v>
      </c>
      <c r="G6" s="305"/>
      <c r="H6" s="305"/>
      <c r="I6" s="305"/>
      <c r="J6" s="305"/>
      <c r="K6" s="305"/>
      <c r="L6" s="305"/>
      <c r="M6" s="306"/>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07" t="s">
        <v>125</v>
      </c>
      <c r="J8" s="308"/>
      <c r="K8" s="309"/>
      <c r="L8" s="6"/>
      <c r="M8" s="144">
        <f>+AVERAGE(G26,G28,G30,G32,G34)</f>
        <v>0.84309523809523801</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0" t="s">
        <v>126</v>
      </c>
      <c r="D18" s="311"/>
      <c r="E18" s="311"/>
      <c r="F18" s="311"/>
      <c r="G18" s="311"/>
      <c r="H18" s="311"/>
      <c r="I18" s="311"/>
      <c r="J18" s="311"/>
      <c r="K18" s="311"/>
      <c r="L18" s="311"/>
      <c r="M18" s="312"/>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93.5" customHeight="1" x14ac:dyDescent="0.25">
      <c r="A20" s="1"/>
      <c r="B20" s="5"/>
      <c r="C20" s="313" t="s">
        <v>127</v>
      </c>
      <c r="D20" s="314"/>
      <c r="E20" s="147" t="s">
        <v>38</v>
      </c>
      <c r="F20" s="315" t="s">
        <v>214</v>
      </c>
      <c r="G20" s="315"/>
      <c r="H20" s="315"/>
      <c r="I20" s="315"/>
      <c r="J20" s="315"/>
      <c r="K20" s="315"/>
      <c r="L20" s="315"/>
      <c r="M20" s="316"/>
      <c r="N20" s="15"/>
      <c r="O20" s="15"/>
      <c r="P20" s="8"/>
      <c r="Q20" s="1"/>
    </row>
    <row r="21" spans="1:17" ht="138.75" customHeight="1" x14ac:dyDescent="0.25">
      <c r="A21" s="1"/>
      <c r="B21" s="5"/>
      <c r="C21" s="297" t="s">
        <v>128</v>
      </c>
      <c r="D21" s="298"/>
      <c r="E21" s="148" t="s">
        <v>38</v>
      </c>
      <c r="F21" s="317" t="s">
        <v>215</v>
      </c>
      <c r="G21" s="317"/>
      <c r="H21" s="317"/>
      <c r="I21" s="317"/>
      <c r="J21" s="317"/>
      <c r="K21" s="317"/>
      <c r="L21" s="317"/>
      <c r="M21" s="318"/>
      <c r="N21" s="15"/>
      <c r="O21" s="15"/>
      <c r="P21" s="8"/>
      <c r="Q21" s="1"/>
    </row>
    <row r="22" spans="1:17" ht="118.5" customHeight="1" thickBot="1" x14ac:dyDescent="0.3">
      <c r="A22" s="1"/>
      <c r="B22" s="5"/>
      <c r="C22" s="299" t="s">
        <v>129</v>
      </c>
      <c r="D22" s="300"/>
      <c r="E22" s="149" t="s">
        <v>38</v>
      </c>
      <c r="F22" s="319" t="s">
        <v>216</v>
      </c>
      <c r="G22" s="319"/>
      <c r="H22" s="319"/>
      <c r="I22" s="319"/>
      <c r="J22" s="319"/>
      <c r="K22" s="319"/>
      <c r="L22" s="319"/>
      <c r="M22" s="320"/>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130</v>
      </c>
      <c r="D24" s="100"/>
      <c r="E24" s="99" t="s">
        <v>131</v>
      </c>
      <c r="F24" s="100"/>
      <c r="G24" s="99" t="s">
        <v>132</v>
      </c>
      <c r="H24" s="100"/>
      <c r="I24" s="324" t="s">
        <v>133</v>
      </c>
      <c r="J24" s="324"/>
      <c r="K24" s="324"/>
      <c r="L24" s="324"/>
      <c r="M24" s="324"/>
      <c r="N24" s="33"/>
      <c r="O24" s="33"/>
      <c r="P24" s="8"/>
      <c r="Q24" s="17"/>
    </row>
    <row r="25" spans="1:17" ht="13.5" customHeight="1" thickBot="1" x14ac:dyDescent="0.3">
      <c r="A25" s="1"/>
      <c r="B25" s="5"/>
      <c r="C25" s="32"/>
      <c r="D25" s="18"/>
      <c r="E25" s="18"/>
      <c r="F25" s="18"/>
      <c r="G25" s="18"/>
      <c r="H25" s="18"/>
      <c r="I25" s="328"/>
      <c r="J25" s="328"/>
      <c r="K25" s="328"/>
      <c r="L25" s="328"/>
      <c r="M25" s="328"/>
      <c r="N25" s="34"/>
      <c r="O25" s="34"/>
      <c r="P25" s="8"/>
      <c r="Q25" s="1"/>
    </row>
    <row r="26" spans="1:17" ht="159" customHeight="1" thickBot="1" x14ac:dyDescent="0.3">
      <c r="A26" s="1"/>
      <c r="B26" s="5"/>
      <c r="C26" s="90" t="s">
        <v>32</v>
      </c>
      <c r="D26" s="19"/>
      <c r="E26" s="145" t="str">
        <f>+IF(Hoja1!K2&gt;=0.5,"Si","No")</f>
        <v>Si</v>
      </c>
      <c r="F26" s="20"/>
      <c r="G26" s="146">
        <f>+Hoja1!K2</f>
        <v>0.95833333333333337</v>
      </c>
      <c r="H26" s="20"/>
      <c r="I26" s="325" t="s">
        <v>221</v>
      </c>
      <c r="J26" s="326"/>
      <c r="K26" s="326"/>
      <c r="L26" s="326"/>
      <c r="M26" s="327"/>
      <c r="N26" s="35"/>
      <c r="O26" s="36"/>
      <c r="P26" s="21"/>
      <c r="Q26" s="22"/>
    </row>
    <row r="27" spans="1:17" ht="11.25" customHeight="1" thickBot="1" x14ac:dyDescent="0.45">
      <c r="A27" s="1"/>
      <c r="B27" s="5"/>
      <c r="C27" s="91"/>
      <c r="D27" s="23"/>
      <c r="E27" s="98"/>
      <c r="F27" s="18"/>
      <c r="G27" s="24"/>
      <c r="H27" s="18"/>
      <c r="I27" s="329"/>
      <c r="J27" s="329"/>
      <c r="K27" s="329"/>
      <c r="L27" s="329"/>
      <c r="M27" s="329"/>
      <c r="N27" s="37"/>
      <c r="O27" s="37"/>
      <c r="P27" s="8"/>
      <c r="Q27" s="1"/>
    </row>
    <row r="28" spans="1:17" ht="84" customHeight="1" thickBot="1" x14ac:dyDescent="0.3">
      <c r="A28" s="1"/>
      <c r="B28" s="5"/>
      <c r="C28" s="92" t="s">
        <v>134</v>
      </c>
      <c r="D28" s="19"/>
      <c r="E28" s="145" t="str">
        <f>+IF(Hoja1!K14&gt;=0.5,"Si","No")</f>
        <v>Si</v>
      </c>
      <c r="F28" s="18"/>
      <c r="G28" s="146">
        <f>+Hoja1!K14</f>
        <v>0.85</v>
      </c>
      <c r="H28" s="18"/>
      <c r="I28" s="321" t="s">
        <v>217</v>
      </c>
      <c r="J28" s="322"/>
      <c r="K28" s="322"/>
      <c r="L28" s="322"/>
      <c r="M28" s="323"/>
      <c r="N28" s="35"/>
      <c r="O28" s="35"/>
      <c r="P28" s="8"/>
      <c r="Q28" s="1"/>
    </row>
    <row r="29" spans="1:17" ht="12.75" customHeight="1" thickBot="1" x14ac:dyDescent="0.45">
      <c r="A29" s="1"/>
      <c r="B29" s="5"/>
      <c r="C29" s="91"/>
      <c r="D29" s="23"/>
      <c r="E29" s="98"/>
      <c r="F29" s="18"/>
      <c r="G29" s="24"/>
      <c r="H29" s="18"/>
      <c r="I29" s="329"/>
      <c r="J29" s="329"/>
      <c r="K29" s="329"/>
      <c r="L29" s="329"/>
      <c r="M29" s="329"/>
      <c r="N29" s="37"/>
      <c r="O29" s="37"/>
      <c r="P29" s="8"/>
      <c r="Q29" s="1"/>
    </row>
    <row r="30" spans="1:17" ht="124.5" customHeight="1" thickBot="1" x14ac:dyDescent="0.3">
      <c r="A30" s="1"/>
      <c r="B30" s="5"/>
      <c r="C30" s="93" t="s">
        <v>135</v>
      </c>
      <c r="D30" s="19"/>
      <c r="E30" s="145" t="str">
        <f>+IF(Hoja1!K24&gt;=0.5,"Si","No")</f>
        <v>Si</v>
      </c>
      <c r="F30" s="18"/>
      <c r="G30" s="146">
        <f>+Hoja1!K24</f>
        <v>0.7</v>
      </c>
      <c r="H30" s="18"/>
      <c r="I30" s="321" t="s">
        <v>218</v>
      </c>
      <c r="J30" s="322"/>
      <c r="K30" s="322"/>
      <c r="L30" s="322"/>
      <c r="M30" s="323"/>
      <c r="N30" s="35"/>
      <c r="O30" s="35"/>
      <c r="P30" s="8"/>
      <c r="Q30" s="1"/>
    </row>
    <row r="31" spans="1:17" ht="14.25" customHeight="1" thickBot="1" x14ac:dyDescent="0.45">
      <c r="A31" s="1"/>
      <c r="B31" s="5"/>
      <c r="C31" s="91"/>
      <c r="D31" s="23"/>
      <c r="E31" s="98"/>
      <c r="F31" s="18"/>
      <c r="G31" s="24"/>
      <c r="H31" s="18"/>
      <c r="I31" s="329"/>
      <c r="J31" s="329"/>
      <c r="K31" s="329"/>
      <c r="L31" s="329"/>
      <c r="M31" s="329"/>
      <c r="N31" s="37"/>
      <c r="O31" s="37"/>
      <c r="P31" s="8"/>
      <c r="Q31" s="1"/>
    </row>
    <row r="32" spans="1:17" ht="103.5" customHeight="1" thickBot="1" x14ac:dyDescent="0.3">
      <c r="A32" s="1"/>
      <c r="B32" s="5"/>
      <c r="C32" s="94" t="s">
        <v>86</v>
      </c>
      <c r="D32" s="19"/>
      <c r="E32" s="145" t="str">
        <f>+IF(Hoja1!K29&gt;=0.5,"Si","No")</f>
        <v>Si</v>
      </c>
      <c r="F32" s="18"/>
      <c r="G32" s="146">
        <f>+Hoja1!K29</f>
        <v>0.8571428571428571</v>
      </c>
      <c r="H32" s="18"/>
      <c r="I32" s="321" t="s">
        <v>219</v>
      </c>
      <c r="J32" s="322"/>
      <c r="K32" s="322"/>
      <c r="L32" s="322"/>
      <c r="M32" s="323"/>
      <c r="N32" s="35"/>
      <c r="O32" s="35"/>
      <c r="P32" s="8"/>
      <c r="Q32" s="1"/>
    </row>
    <row r="33" spans="1:17" ht="16.5" customHeight="1" thickBot="1" x14ac:dyDescent="0.45">
      <c r="A33" s="1"/>
      <c r="B33" s="5"/>
      <c r="C33" s="91"/>
      <c r="D33" s="23"/>
      <c r="E33" s="98"/>
      <c r="F33" s="18"/>
      <c r="G33" s="24"/>
      <c r="H33" s="18"/>
      <c r="I33" s="329"/>
      <c r="J33" s="329"/>
      <c r="K33" s="329"/>
      <c r="L33" s="329"/>
      <c r="M33" s="329"/>
      <c r="N33" s="37"/>
      <c r="O33" s="37"/>
      <c r="P33" s="8"/>
      <c r="Q33" s="1"/>
    </row>
    <row r="34" spans="1:17" ht="134.25" customHeight="1" thickBot="1" x14ac:dyDescent="0.3">
      <c r="A34" s="1"/>
      <c r="B34" s="5"/>
      <c r="C34" s="95" t="s">
        <v>136</v>
      </c>
      <c r="D34" s="19"/>
      <c r="E34" s="97" t="str">
        <f>+IF(Hoja1!K36&gt;=0.5,"Si","No")</f>
        <v>Si</v>
      </c>
      <c r="F34" s="18"/>
      <c r="G34" s="146">
        <f>+Hoja1!K36</f>
        <v>0.85</v>
      </c>
      <c r="H34" s="18"/>
      <c r="I34" s="321" t="s">
        <v>220</v>
      </c>
      <c r="J34" s="322"/>
      <c r="K34" s="322"/>
      <c r="L34" s="322"/>
      <c r="M34" s="323"/>
      <c r="N34" s="35"/>
      <c r="O34" s="35"/>
      <c r="P34" s="8"/>
      <c r="Q34" s="1"/>
    </row>
    <row r="35" spans="1:17" ht="11.25" customHeight="1" x14ac:dyDescent="0.25">
      <c r="A35" s="1"/>
      <c r="B35" s="5"/>
      <c r="C35" s="25"/>
      <c r="D35" s="25"/>
      <c r="E35" s="15"/>
      <c r="F35" s="6"/>
      <c r="G35" s="6"/>
      <c r="H35" s="6"/>
      <c r="I35" s="6"/>
      <c r="J35" s="6"/>
      <c r="K35" s="6"/>
      <c r="L35" s="6"/>
      <c r="M35" s="26"/>
      <c r="N35" s="26"/>
      <c r="O35" s="26"/>
      <c r="P35" s="8"/>
      <c r="Q35" s="1"/>
    </row>
    <row r="36" spans="1:17" ht="7.5" customHeight="1" x14ac:dyDescent="0.25">
      <c r="A36" s="1"/>
      <c r="B36" s="5"/>
      <c r="C36" s="27"/>
      <c r="D36" s="25"/>
      <c r="E36" s="15"/>
      <c r="F36" s="6"/>
      <c r="G36" s="6"/>
      <c r="H36" s="6"/>
      <c r="I36" s="6"/>
      <c r="J36" s="6"/>
      <c r="K36" s="6"/>
      <c r="L36" s="6"/>
      <c r="M36" s="26"/>
      <c r="N36" s="26"/>
      <c r="O36" s="26"/>
      <c r="P36" s="8"/>
      <c r="Q36" s="1"/>
    </row>
    <row r="37" spans="1:17" ht="7.5" customHeight="1" x14ac:dyDescent="0.25">
      <c r="A37" s="1"/>
      <c r="B37" s="5"/>
      <c r="C37" s="28"/>
      <c r="D37" s="6"/>
      <c r="E37" s="6"/>
      <c r="F37" s="6"/>
      <c r="G37" s="6"/>
      <c r="H37" s="6"/>
      <c r="I37" s="6"/>
      <c r="J37" s="6"/>
      <c r="K37" s="6"/>
      <c r="L37" s="6"/>
      <c r="M37" s="6"/>
      <c r="N37" s="6"/>
      <c r="O37" s="6"/>
      <c r="P37" s="8"/>
      <c r="Q37" s="1"/>
    </row>
    <row r="38" spans="1:17" ht="16.5" customHeight="1"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4:M34"/>
    <mergeCell ref="I30:M30"/>
    <mergeCell ref="I32:M32"/>
    <mergeCell ref="I24:M24"/>
    <mergeCell ref="I26:M26"/>
    <mergeCell ref="I28:M28"/>
    <mergeCell ref="I25:M25"/>
    <mergeCell ref="I27:M27"/>
    <mergeCell ref="I29:M29"/>
    <mergeCell ref="I31:M31"/>
    <mergeCell ref="I33:M33"/>
    <mergeCell ref="C21:D21"/>
    <mergeCell ref="C22:D22"/>
    <mergeCell ref="E4:E5"/>
    <mergeCell ref="F4:M5"/>
    <mergeCell ref="F6:M6"/>
    <mergeCell ref="I8:K8"/>
    <mergeCell ref="C18:M18"/>
    <mergeCell ref="C20:D20"/>
    <mergeCell ref="F20:M20"/>
    <mergeCell ref="F21:M21"/>
    <mergeCell ref="F22:M22"/>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scale="3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0" t="s">
        <v>25</v>
      </c>
      <c r="B1" s="150" t="s">
        <v>6</v>
      </c>
      <c r="C1" s="151" t="s">
        <v>8</v>
      </c>
      <c r="D1" s="152" t="s">
        <v>26</v>
      </c>
      <c r="E1" s="152" t="s">
        <v>27</v>
      </c>
      <c r="F1" s="152" t="s">
        <v>137</v>
      </c>
      <c r="G1" s="153" t="s">
        <v>138</v>
      </c>
      <c r="H1" s="153" t="s">
        <v>139</v>
      </c>
      <c r="I1" s="153" t="s">
        <v>118</v>
      </c>
      <c r="J1" s="153" t="s">
        <v>140</v>
      </c>
      <c r="K1" s="153" t="s">
        <v>141</v>
      </c>
    </row>
    <row r="2" spans="1:11" x14ac:dyDescent="0.25">
      <c r="A2" s="154" t="s">
        <v>142</v>
      </c>
      <c r="B2" s="154" t="str">
        <f>+VLOOKUP(A2,'Estado SCI'!$A$16:$C$59,3,0)</f>
        <v>AMBIENTE DE CONTROL</v>
      </c>
      <c r="C2" s="154" t="s">
        <v>33</v>
      </c>
      <c r="D2" s="154" t="s">
        <v>34</v>
      </c>
      <c r="E2" s="154" t="s">
        <v>35</v>
      </c>
      <c r="F2" s="154" t="str">
        <f>+VLOOKUP(A2,'Estado SCI'!$A$16:$I$59,9,0)</f>
        <v>Oportunidad de mejora</v>
      </c>
      <c r="G2" s="154">
        <f>+VLOOKUP(A2,'Estado SCI'!$A$16:$L$59,12,0)</f>
        <v>10.122999999999999</v>
      </c>
      <c r="H2" s="154">
        <f t="shared" ref="H2:H45" si="0">+_xlfn.RANK.EQ(G2,$G$2:$G$45,1)</f>
        <v>1</v>
      </c>
      <c r="I2" s="154" t="str">
        <f>+IF(VLOOKUP(A2,'Estado SCI'!$A$16:$G$59,7,0)="","",VLOOKUP(A2,'Estado SCI'!$A$16:$G$59,7,0))</f>
        <v>En proceso</v>
      </c>
      <c r="J2" s="155">
        <f>+IF(I2="Si",1,IF(I2="En proceso",0.5,0))</f>
        <v>0.5</v>
      </c>
      <c r="K2" s="156">
        <f t="shared" ref="K2:K45" si="1">+AVERAGEIF($B$2:$B$45,B2,$J$2:$J$45)</f>
        <v>0.95833333333333337</v>
      </c>
    </row>
    <row r="3" spans="1:11" x14ac:dyDescent="0.25">
      <c r="A3" s="154" t="s">
        <v>143</v>
      </c>
      <c r="B3" s="154" t="s">
        <v>32</v>
      </c>
      <c r="C3" s="154" t="s">
        <v>33</v>
      </c>
      <c r="D3" s="154" t="s">
        <v>36</v>
      </c>
      <c r="E3" s="154" t="s">
        <v>37</v>
      </c>
      <c r="F3" s="154" t="str">
        <f>+VLOOKUP(A3,'Estado SCI'!$A$16:$I$59,9,0)</f>
        <v>Mantenimiento del control</v>
      </c>
      <c r="G3" s="154">
        <f>+VLOOKUP(A3,'Estado SCI'!$A$16:$L$59,12,0)</f>
        <v>20.1234</v>
      </c>
      <c r="H3" s="154">
        <f t="shared" si="0"/>
        <v>2</v>
      </c>
      <c r="I3" s="154" t="str">
        <f>+IF(VLOOKUP(A3,'Estado SCI'!$A$16:$G$59,7,0)="","",VLOOKUP(A3,'Estado SCI'!$A$16:$G$59,7,0))</f>
        <v>Si</v>
      </c>
      <c r="J3" s="155">
        <f t="shared" ref="J3:J45" si="2">+IF(I3="Si",1,IF(I3="En proceso",0.5,0))</f>
        <v>1</v>
      </c>
      <c r="K3" s="156">
        <f t="shared" si="1"/>
        <v>0.95833333333333337</v>
      </c>
    </row>
    <row r="4" spans="1:11" x14ac:dyDescent="0.25">
      <c r="A4" s="154" t="s">
        <v>144</v>
      </c>
      <c r="B4" s="154" t="s">
        <v>32</v>
      </c>
      <c r="C4" s="154" t="s">
        <v>33</v>
      </c>
      <c r="D4" s="154" t="s">
        <v>39</v>
      </c>
      <c r="E4" s="154" t="s">
        <v>40</v>
      </c>
      <c r="F4" s="154" t="str">
        <f>+VLOOKUP(A4,'Estado SCI'!$A$16:$I$59,9,0)</f>
        <v>Mantenimiento del control</v>
      </c>
      <c r="G4" s="154">
        <f>+VLOOKUP(A4,'Estado SCI'!$A$16:$L$59,12,0)</f>
        <v>20.123449999999998</v>
      </c>
      <c r="H4" s="154">
        <f t="shared" si="0"/>
        <v>3</v>
      </c>
      <c r="I4" s="154" t="str">
        <f>+IF(VLOOKUP(A4,'Estado SCI'!$A$16:$G$59,7,0)="","",VLOOKUP(A4,'Estado SCI'!$A$16:$G$59,7,0))</f>
        <v>Si</v>
      </c>
      <c r="J4" s="155">
        <f t="shared" si="2"/>
        <v>1</v>
      </c>
      <c r="K4" s="156">
        <f t="shared" si="1"/>
        <v>0.95833333333333337</v>
      </c>
    </row>
    <row r="5" spans="1:11" x14ac:dyDescent="0.25">
      <c r="A5" s="154" t="s">
        <v>145</v>
      </c>
      <c r="B5" s="154" t="s">
        <v>32</v>
      </c>
      <c r="C5" s="154" t="s">
        <v>33</v>
      </c>
      <c r="D5" s="154" t="s">
        <v>41</v>
      </c>
      <c r="E5" s="154" t="s">
        <v>42</v>
      </c>
      <c r="F5" s="154" t="str">
        <f>+VLOOKUP(A5,'Estado SCI'!$A$16:$I$59,9,0)</f>
        <v>Mantenimiento del control</v>
      </c>
      <c r="G5" s="154">
        <f>+VLOOKUP(A5,'Estado SCI'!$A$16:$L$59,12,0)</f>
        <v>20.123456000000001</v>
      </c>
      <c r="H5" s="154">
        <f t="shared" si="0"/>
        <v>4</v>
      </c>
      <c r="I5" s="154" t="str">
        <f>+IF(VLOOKUP(A5,'Estado SCI'!$A$16:$G$59,7,0)="","",VLOOKUP(A5,'Estado SCI'!$A$16:$G$59,7,0))</f>
        <v>Si</v>
      </c>
      <c r="J5" s="155">
        <f t="shared" si="2"/>
        <v>1</v>
      </c>
      <c r="K5" s="156">
        <f t="shared" si="1"/>
        <v>0.95833333333333337</v>
      </c>
    </row>
    <row r="6" spans="1:11" x14ac:dyDescent="0.25">
      <c r="A6" s="154" t="s">
        <v>146</v>
      </c>
      <c r="B6" s="154" t="s">
        <v>32</v>
      </c>
      <c r="C6" s="154" t="s">
        <v>33</v>
      </c>
      <c r="D6" s="154" t="s">
        <v>43</v>
      </c>
      <c r="E6" s="154" t="s">
        <v>44</v>
      </c>
      <c r="F6" s="154" t="str">
        <f>+VLOOKUP(A6,'Estado SCI'!$A$16:$I$59,9,0)</f>
        <v>Mantenimiento del control</v>
      </c>
      <c r="G6" s="154">
        <f>+VLOOKUP(A6,'Estado SCI'!$A$16:$L$59,12,0)</f>
        <v>20.123456780000001</v>
      </c>
      <c r="H6" s="154">
        <f t="shared" si="0"/>
        <v>5</v>
      </c>
      <c r="I6" s="154" t="str">
        <f>+IF(VLOOKUP(A6,'Estado SCI'!$A$16:$G$59,7,0)="","",VLOOKUP(A6,'Estado SCI'!$A$16:$G$59,7,0))</f>
        <v>Si</v>
      </c>
      <c r="J6" s="155">
        <f t="shared" si="2"/>
        <v>1</v>
      </c>
      <c r="K6" s="156">
        <f t="shared" si="1"/>
        <v>0.95833333333333337</v>
      </c>
    </row>
    <row r="7" spans="1:11" x14ac:dyDescent="0.25">
      <c r="A7" s="154" t="s">
        <v>147</v>
      </c>
      <c r="B7" s="154" t="s">
        <v>32</v>
      </c>
      <c r="C7" s="154" t="s">
        <v>33</v>
      </c>
      <c r="D7" s="154" t="s">
        <v>45</v>
      </c>
      <c r="E7" s="154" t="s">
        <v>46</v>
      </c>
      <c r="F7" s="154" t="str">
        <f>+VLOOKUP(A7,'Estado SCI'!$A$16:$I$59,9,0)</f>
        <v>Mantenimiento del control</v>
      </c>
      <c r="G7" s="154">
        <f>+VLOOKUP(A7,'Estado SCI'!$A$16:$L$59,12,0)</f>
        <v>20.123456788999999</v>
      </c>
      <c r="H7" s="154">
        <f t="shared" si="0"/>
        <v>6</v>
      </c>
      <c r="I7" s="154" t="str">
        <f>+IF(VLOOKUP(A7,'Estado SCI'!$A$16:$G$59,7,0)="","",VLOOKUP(A7,'Estado SCI'!$A$16:$G$59,7,0))</f>
        <v>Si</v>
      </c>
      <c r="J7" s="155">
        <f t="shared" si="2"/>
        <v>1</v>
      </c>
      <c r="K7" s="156">
        <f t="shared" si="1"/>
        <v>0.95833333333333337</v>
      </c>
    </row>
    <row r="8" spans="1:11" x14ac:dyDescent="0.25">
      <c r="A8" s="154" t="s">
        <v>148</v>
      </c>
      <c r="B8" s="154" t="s">
        <v>32</v>
      </c>
      <c r="C8" s="154" t="s">
        <v>33</v>
      </c>
      <c r="D8" s="154" t="s">
        <v>47</v>
      </c>
      <c r="E8" s="154" t="s">
        <v>48</v>
      </c>
      <c r="F8" s="154" t="str">
        <f>+VLOOKUP(A8,'Estado SCI'!$A$16:$I$59,9,0)</f>
        <v>Mantenimiento del control</v>
      </c>
      <c r="G8" s="154">
        <f>+VLOOKUP(A8,'Estado SCI'!$A$16:$L$59,12,0)</f>
        <v>20.1234567891</v>
      </c>
      <c r="H8" s="154">
        <f t="shared" si="0"/>
        <v>7</v>
      </c>
      <c r="I8" s="154" t="str">
        <f>+IF(VLOOKUP(A8,'Estado SCI'!$A$16:$G$59,7,0)="","",VLOOKUP(A8,'Estado SCI'!$A$16:$G$59,7,0))</f>
        <v>Si</v>
      </c>
      <c r="J8" s="155">
        <f t="shared" si="2"/>
        <v>1</v>
      </c>
      <c r="K8" s="156">
        <f t="shared" si="1"/>
        <v>0.95833333333333337</v>
      </c>
    </row>
    <row r="9" spans="1:11" x14ac:dyDescent="0.25">
      <c r="A9" s="154" t="s">
        <v>149</v>
      </c>
      <c r="B9" s="154" t="s">
        <v>32</v>
      </c>
      <c r="C9" s="154" t="s">
        <v>33</v>
      </c>
      <c r="D9" s="154" t="s">
        <v>49</v>
      </c>
      <c r="E9" s="154" t="s">
        <v>50</v>
      </c>
      <c r="F9" s="154" t="str">
        <f>+VLOOKUP(A9,'Estado SCI'!$A$16:$I$59,9,0)</f>
        <v>Mantenimiento del control</v>
      </c>
      <c r="G9" s="154">
        <f>+VLOOKUP(A9,'Estado SCI'!$A$16:$L$59,12,0)</f>
        <v>20.123456789119999</v>
      </c>
      <c r="H9" s="154">
        <f t="shared" si="0"/>
        <v>8</v>
      </c>
      <c r="I9" s="154" t="str">
        <f>+IF(VLOOKUP(A9,'Estado SCI'!$A$16:$G$59,7,0)="","",VLOOKUP(A9,'Estado SCI'!$A$16:$G$59,7,0))</f>
        <v>Si</v>
      </c>
      <c r="J9" s="155">
        <f t="shared" si="2"/>
        <v>1</v>
      </c>
      <c r="K9" s="156">
        <f t="shared" si="1"/>
        <v>0.95833333333333337</v>
      </c>
    </row>
    <row r="10" spans="1:11" x14ac:dyDescent="0.25">
      <c r="A10" s="154" t="s">
        <v>150</v>
      </c>
      <c r="B10" s="154" t="s">
        <v>32</v>
      </c>
      <c r="C10" s="154" t="s">
        <v>33</v>
      </c>
      <c r="D10" s="154" t="s">
        <v>51</v>
      </c>
      <c r="E10" s="154" t="s">
        <v>52</v>
      </c>
      <c r="F10" s="154" t="str">
        <f>+VLOOKUP(A10,'Estado SCI'!$A$16:$I$59,9,0)</f>
        <v>Mantenimiento del control</v>
      </c>
      <c r="G10" s="154">
        <f>+VLOOKUP(A10,'Estado SCI'!$A$16:$L$59,12,0)</f>
        <v>20.123456789123001</v>
      </c>
      <c r="H10" s="154">
        <f t="shared" si="0"/>
        <v>9</v>
      </c>
      <c r="I10" s="154" t="str">
        <f>+IF(VLOOKUP(A10,'Estado SCI'!$A$16:$G$59,7,0)="","",VLOOKUP(A10,'Estado SCI'!$A$16:$G$59,7,0))</f>
        <v>Si</v>
      </c>
      <c r="J10" s="155">
        <f t="shared" si="2"/>
        <v>1</v>
      </c>
      <c r="K10" s="156">
        <f t="shared" si="1"/>
        <v>0.95833333333333337</v>
      </c>
    </row>
    <row r="11" spans="1:11" x14ac:dyDescent="0.25">
      <c r="A11" s="154" t="s">
        <v>151</v>
      </c>
      <c r="B11" s="154" t="s">
        <v>32</v>
      </c>
      <c r="C11" s="154" t="s">
        <v>33</v>
      </c>
      <c r="D11" s="154" t="s">
        <v>53</v>
      </c>
      <c r="E11" s="154" t="s">
        <v>54</v>
      </c>
      <c r="F11" s="154" t="str">
        <f>+VLOOKUP(A11,'Estado SCI'!$A$16:$I$59,9,0)</f>
        <v>Mantenimiento del control</v>
      </c>
      <c r="G11" s="154">
        <f>+VLOOKUP(A11,'Estado SCI'!$A$16:$L$59,12,0)</f>
        <v>20.123456789123399</v>
      </c>
      <c r="H11" s="154">
        <f t="shared" si="0"/>
        <v>10</v>
      </c>
      <c r="I11" s="154" t="str">
        <f>+IF(VLOOKUP(A11,'Estado SCI'!$A$16:$G$59,7,0)="","",VLOOKUP(A11,'Estado SCI'!$A$16:$G$59,7,0))</f>
        <v>Si</v>
      </c>
      <c r="J11" s="155">
        <f t="shared" si="2"/>
        <v>1</v>
      </c>
      <c r="K11" s="156">
        <f t="shared" si="1"/>
        <v>0.95833333333333337</v>
      </c>
    </row>
    <row r="12" spans="1:11" x14ac:dyDescent="0.25">
      <c r="A12" s="154" t="s">
        <v>152</v>
      </c>
      <c r="B12" s="154" t="s">
        <v>32</v>
      </c>
      <c r="C12" s="154" t="s">
        <v>33</v>
      </c>
      <c r="D12" s="154" t="s">
        <v>55</v>
      </c>
      <c r="E12" s="154" t="s">
        <v>56</v>
      </c>
      <c r="F12" s="154" t="str">
        <f>+VLOOKUP(A12,'Estado SCI'!$A$16:$I$59,9,0)</f>
        <v>Mantenimiento del control</v>
      </c>
      <c r="G12" s="154">
        <f>+VLOOKUP(A12,'Estado SCI'!$A$16:$L$59,12,0)</f>
        <v>20.123456789123448</v>
      </c>
      <c r="H12" s="154">
        <f t="shared" si="0"/>
        <v>11</v>
      </c>
      <c r="I12" s="154" t="str">
        <f>+IF(VLOOKUP(A12,'Estado SCI'!$A$16:$G$59,7,0)="","",VLOOKUP(A12,'Estado SCI'!$A$16:$G$59,7,0))</f>
        <v>Si</v>
      </c>
      <c r="J12" s="155">
        <f t="shared" si="2"/>
        <v>1</v>
      </c>
      <c r="K12" s="156">
        <f t="shared" si="1"/>
        <v>0.95833333333333337</v>
      </c>
    </row>
    <row r="13" spans="1:11" x14ac:dyDescent="0.25">
      <c r="A13" s="154" t="s">
        <v>153</v>
      </c>
      <c r="B13" s="154" t="s">
        <v>32</v>
      </c>
      <c r="C13" s="154" t="s">
        <v>33</v>
      </c>
      <c r="D13" s="154" t="s">
        <v>57</v>
      </c>
      <c r="E13" s="154" t="s">
        <v>58</v>
      </c>
      <c r="F13" s="154" t="str">
        <f>+VLOOKUP(A13,'Estado SCI'!$A$16:$I$59,9,0)</f>
        <v>Mantenimiento del control</v>
      </c>
      <c r="G13" s="154">
        <f>+VLOOKUP(A13,'Estado SCI'!$A$16:$L$59,12,0)</f>
        <v>20.123456789123455</v>
      </c>
      <c r="H13" s="154">
        <f t="shared" si="0"/>
        <v>12</v>
      </c>
      <c r="I13" s="154" t="str">
        <f>+IF(VLOOKUP(A13,'Estado SCI'!$A$16:$G$59,7,0)="","",VLOOKUP(A13,'Estado SCI'!$A$16:$G$59,7,0))</f>
        <v>Si</v>
      </c>
      <c r="J13" s="155">
        <f t="shared" si="2"/>
        <v>1</v>
      </c>
      <c r="K13" s="156">
        <f t="shared" si="1"/>
        <v>0.95833333333333337</v>
      </c>
    </row>
    <row r="14" spans="1:11" ht="15" customHeight="1" x14ac:dyDescent="0.25">
      <c r="A14" s="154" t="s">
        <v>154</v>
      </c>
      <c r="B14" s="154" t="str">
        <f>+VLOOKUP(A14,'Estado SCI'!$A$16:$C$59,3,0)</f>
        <v>EVALUACION DEL RIESGO</v>
      </c>
      <c r="C14" s="154" t="s">
        <v>61</v>
      </c>
      <c r="D14" s="154" t="s">
        <v>34</v>
      </c>
      <c r="E14" s="154" t="s">
        <v>155</v>
      </c>
      <c r="F14" s="154" t="str">
        <f>+VLOOKUP(A14,'Estado SCI'!$A$16:$I$59,9,0)</f>
        <v>Mantenimiento del control</v>
      </c>
      <c r="G14" s="154">
        <f>+VLOOKUP(A14,'Estado SCI'!$A$16:$L$59,12,0)</f>
        <v>40.229999999999997</v>
      </c>
      <c r="H14" s="154">
        <f t="shared" si="0"/>
        <v>16</v>
      </c>
      <c r="I14" s="154" t="str">
        <f>+IF(VLOOKUP(A14,'Estado SCI'!$A$16:$G$59,7,0)="","",VLOOKUP(A14,'Estado SCI'!$A$16:$G$59,7,0))</f>
        <v>Si</v>
      </c>
      <c r="J14" s="155">
        <f t="shared" si="2"/>
        <v>1</v>
      </c>
      <c r="K14" s="156">
        <f t="shared" si="1"/>
        <v>0.85</v>
      </c>
    </row>
    <row r="15" spans="1:11" ht="15" customHeight="1" x14ac:dyDescent="0.25">
      <c r="A15" s="154" t="s">
        <v>156</v>
      </c>
      <c r="B15" s="154" t="s">
        <v>60</v>
      </c>
      <c r="C15" s="154" t="s">
        <v>61</v>
      </c>
      <c r="D15" s="154" t="s">
        <v>36</v>
      </c>
      <c r="E15" s="154" t="s">
        <v>157</v>
      </c>
      <c r="F15" s="154" t="str">
        <f>+VLOOKUP(A15,'Estado SCI'!$A$16:$I$59,9,0)</f>
        <v>Mantenimiento del control</v>
      </c>
      <c r="G15" s="154">
        <f>+VLOOKUP(A15,'Estado SCI'!$A$16:$L$59,12,0)</f>
        <v>40.234000000000002</v>
      </c>
      <c r="H15" s="154">
        <f t="shared" si="0"/>
        <v>17</v>
      </c>
      <c r="I15" s="154" t="str">
        <f>+IF(VLOOKUP(A15,'Estado SCI'!$A$16:$G$59,7,0)="","",VLOOKUP(A15,'Estado SCI'!$A$16:$G$59,7,0))</f>
        <v>Si</v>
      </c>
      <c r="J15" s="155">
        <f t="shared" si="2"/>
        <v>1</v>
      </c>
      <c r="K15" s="156">
        <f t="shared" si="1"/>
        <v>0.85</v>
      </c>
    </row>
    <row r="16" spans="1:11" ht="15" customHeight="1" x14ac:dyDescent="0.25">
      <c r="A16" s="154" t="s">
        <v>158</v>
      </c>
      <c r="B16" s="154" t="s">
        <v>60</v>
      </c>
      <c r="C16" s="154" t="s">
        <v>61</v>
      </c>
      <c r="D16" s="154" t="s">
        <v>39</v>
      </c>
      <c r="E16" s="154" t="s">
        <v>159</v>
      </c>
      <c r="F16" s="154" t="str">
        <f>+VLOOKUP(A16,'Estado SCI'!$A$16:$I$59,9,0)</f>
        <v>Mantenimiento del control</v>
      </c>
      <c r="G16" s="154">
        <f>+VLOOKUP(A16,'Estado SCI'!$A$16:$L$59,12,0)</f>
        <v>40.234499999999997</v>
      </c>
      <c r="H16" s="154">
        <f t="shared" si="0"/>
        <v>18</v>
      </c>
      <c r="I16" s="154" t="str">
        <f>+IF(VLOOKUP(A16,'Estado SCI'!$A$16:$G$59,7,0)="","",VLOOKUP(A16,'Estado SCI'!$A$16:$G$59,7,0))</f>
        <v>Si</v>
      </c>
      <c r="J16" s="155">
        <f t="shared" si="2"/>
        <v>1</v>
      </c>
      <c r="K16" s="156">
        <f t="shared" si="1"/>
        <v>0.85</v>
      </c>
    </row>
    <row r="17" spans="1:11" ht="15.75" customHeight="1" x14ac:dyDescent="0.25">
      <c r="A17" s="154" t="s">
        <v>160</v>
      </c>
      <c r="B17" s="154" t="s">
        <v>60</v>
      </c>
      <c r="C17" s="154" t="s">
        <v>61</v>
      </c>
      <c r="D17" s="154" t="s">
        <v>41</v>
      </c>
      <c r="E17" s="154" t="s">
        <v>65</v>
      </c>
      <c r="F17" s="154" t="str">
        <f>+VLOOKUP(A17,'Estado SCI'!$A$16:$I$59,9,0)</f>
        <v>Mantenimiento del control</v>
      </c>
      <c r="G17" s="154">
        <f>+VLOOKUP(A17,'Estado SCI'!$A$16:$L$59,12,0)</f>
        <v>40.234560000000002</v>
      </c>
      <c r="H17" s="154">
        <f t="shared" si="0"/>
        <v>19</v>
      </c>
      <c r="I17" s="154" t="str">
        <f>+IF(VLOOKUP(A17,'Estado SCI'!$A$16:$G$59,7,0)="","",VLOOKUP(A17,'Estado SCI'!$A$16:$G$59,7,0))</f>
        <v>Si</v>
      </c>
      <c r="J17" s="155">
        <f t="shared" si="2"/>
        <v>1</v>
      </c>
      <c r="K17" s="156">
        <f t="shared" si="1"/>
        <v>0.85</v>
      </c>
    </row>
    <row r="18" spans="1:11" ht="15" customHeight="1" x14ac:dyDescent="0.25">
      <c r="A18" s="154" t="s">
        <v>161</v>
      </c>
      <c r="B18" s="154" t="s">
        <v>60</v>
      </c>
      <c r="C18" s="154" t="s">
        <v>79</v>
      </c>
      <c r="D18" s="154" t="s">
        <v>34</v>
      </c>
      <c r="E18" s="154" t="s">
        <v>68</v>
      </c>
      <c r="F18" s="154" t="str">
        <f>+VLOOKUP(A18,'Estado SCI'!$A$16:$I$59,9,0)</f>
        <v>Oportunidad de mejora</v>
      </c>
      <c r="G18" s="154">
        <f>+VLOOKUP(A18,'Estado SCI'!$A$16:$L$59,12,0)</f>
        <v>30.234566999999998</v>
      </c>
      <c r="H18" s="154">
        <f t="shared" si="0"/>
        <v>13</v>
      </c>
      <c r="I18" s="154" t="str">
        <f>+IF(VLOOKUP(A18,'Estado SCI'!$A$16:$G$59,7,0)="","",VLOOKUP(A18,'Estado SCI'!$A$16:$G$59,7,0))</f>
        <v>En proceso</v>
      </c>
      <c r="J18" s="155">
        <f t="shared" si="2"/>
        <v>0.5</v>
      </c>
      <c r="K18" s="156">
        <f t="shared" si="1"/>
        <v>0.85</v>
      </c>
    </row>
    <row r="19" spans="1:11" ht="15" customHeight="1" x14ac:dyDescent="0.25">
      <c r="A19" s="154" t="s">
        <v>162</v>
      </c>
      <c r="B19" s="154" t="s">
        <v>60</v>
      </c>
      <c r="C19" s="154" t="s">
        <v>79</v>
      </c>
      <c r="D19" s="154" t="s">
        <v>36</v>
      </c>
      <c r="E19" s="154" t="s">
        <v>69</v>
      </c>
      <c r="F19" s="154" t="str">
        <f>+VLOOKUP(A19,'Estado SCI'!$A$16:$I$59,9,0)</f>
        <v>Oportunidad de mejora</v>
      </c>
      <c r="G19" s="154">
        <f>+VLOOKUP(A19,'Estado SCI'!$A$16:$L$59,12,0)</f>
        <v>30.234567800000001</v>
      </c>
      <c r="H19" s="154">
        <f t="shared" si="0"/>
        <v>14</v>
      </c>
      <c r="I19" s="154" t="str">
        <f>+IF(VLOOKUP(A19,'Estado SCI'!$A$16:$G$59,7,0)="","",VLOOKUP(A19,'Estado SCI'!$A$16:$G$59,7,0))</f>
        <v>En proceso</v>
      </c>
      <c r="J19" s="155">
        <f t="shared" si="2"/>
        <v>0.5</v>
      </c>
      <c r="K19" s="156">
        <f t="shared" si="1"/>
        <v>0.85</v>
      </c>
    </row>
    <row r="20" spans="1:11" ht="15" customHeight="1" x14ac:dyDescent="0.25">
      <c r="A20" s="154" t="s">
        <v>163</v>
      </c>
      <c r="B20" s="154" t="s">
        <v>60</v>
      </c>
      <c r="C20" s="154" t="s">
        <v>79</v>
      </c>
      <c r="D20" s="154" t="s">
        <v>39</v>
      </c>
      <c r="E20" s="154" t="s">
        <v>70</v>
      </c>
      <c r="F20" s="154" t="str">
        <f>+VLOOKUP(A20,'Estado SCI'!$A$16:$I$59,9,0)</f>
        <v>Mantenimiento del control</v>
      </c>
      <c r="G20" s="154">
        <f>+VLOOKUP(A20,'Estado SCI'!$A$16:$L$59,12,0)</f>
        <v>40.234567890000001</v>
      </c>
      <c r="H20" s="154">
        <f t="shared" si="0"/>
        <v>20</v>
      </c>
      <c r="I20" s="154" t="str">
        <f>+IF(VLOOKUP(A20,'Estado SCI'!$A$16:$G$59,7,0)="","",VLOOKUP(A20,'Estado SCI'!$A$16:$G$59,7,0))</f>
        <v>Si</v>
      </c>
      <c r="J20" s="155">
        <f t="shared" si="2"/>
        <v>1</v>
      </c>
      <c r="K20" s="156">
        <f t="shared" si="1"/>
        <v>0.85</v>
      </c>
    </row>
    <row r="21" spans="1:11" ht="15.75" customHeight="1" x14ac:dyDescent="0.25">
      <c r="A21" s="154" t="s">
        <v>164</v>
      </c>
      <c r="B21" s="154" t="s">
        <v>60</v>
      </c>
      <c r="C21" s="154" t="s">
        <v>79</v>
      </c>
      <c r="D21" s="154" t="s">
        <v>34</v>
      </c>
      <c r="E21" s="154" t="s">
        <v>73</v>
      </c>
      <c r="F21" s="154" t="str">
        <f>+VLOOKUP(A21,'Estado SCI'!$A$16:$I$59,9,0)</f>
        <v>Mantenimiento del control</v>
      </c>
      <c r="G21" s="154">
        <f>+VLOOKUP(A21,'Estado SCI'!$A$16:$L$59,12,0)</f>
        <v>40.234567891200001</v>
      </c>
      <c r="H21" s="154">
        <f t="shared" si="0"/>
        <v>21</v>
      </c>
      <c r="I21" s="154" t="str">
        <f>+IF(VLOOKUP(A21,'Estado SCI'!$A$16:$G$59,7,0)="","",VLOOKUP(A21,'Estado SCI'!$A$16:$G$59,7,0))</f>
        <v>Si</v>
      </c>
      <c r="J21" s="155">
        <f t="shared" si="2"/>
        <v>1</v>
      </c>
      <c r="K21" s="156">
        <f t="shared" si="1"/>
        <v>0.85</v>
      </c>
    </row>
    <row r="22" spans="1:11" ht="15" customHeight="1" x14ac:dyDescent="0.25">
      <c r="A22" s="154" t="s">
        <v>165</v>
      </c>
      <c r="B22" s="154" t="s">
        <v>60</v>
      </c>
      <c r="C22" s="154" t="s">
        <v>87</v>
      </c>
      <c r="D22" s="154" t="s">
        <v>36</v>
      </c>
      <c r="E22" s="154" t="s">
        <v>74</v>
      </c>
      <c r="F22" s="154" t="str">
        <f>+VLOOKUP(A22,'Estado SCI'!$A$16:$I$59,9,0)</f>
        <v>Oportunidad de mejora</v>
      </c>
      <c r="G22" s="154">
        <f>+VLOOKUP(A22,'Estado SCI'!$A$16:$L$59,12,0)</f>
        <v>30.23456789123</v>
      </c>
      <c r="H22" s="154">
        <f t="shared" si="0"/>
        <v>15</v>
      </c>
      <c r="I22" s="154" t="str">
        <f>+IF(VLOOKUP(A22,'Estado SCI'!$A$16:$G$59,7,0)="","",VLOOKUP(A22,'Estado SCI'!$A$16:$G$59,7,0))</f>
        <v>En proceso</v>
      </c>
      <c r="J22" s="155">
        <f t="shared" si="2"/>
        <v>0.5</v>
      </c>
      <c r="K22" s="156">
        <f t="shared" si="1"/>
        <v>0.85</v>
      </c>
    </row>
    <row r="23" spans="1:11" ht="15" customHeight="1" x14ac:dyDescent="0.25">
      <c r="A23" s="154" t="s">
        <v>166</v>
      </c>
      <c r="B23" s="154" t="s">
        <v>60</v>
      </c>
      <c r="C23" s="154" t="s">
        <v>87</v>
      </c>
      <c r="D23" s="154" t="s">
        <v>39</v>
      </c>
      <c r="E23" s="154" t="s">
        <v>76</v>
      </c>
      <c r="F23" s="154" t="str">
        <f>+VLOOKUP(A23,'Estado SCI'!$A$16:$I$59,9,0)</f>
        <v>Mantenimiento del control</v>
      </c>
      <c r="G23" s="154">
        <f>+VLOOKUP(A23,'Estado SCI'!$A$16:$L$59,12,0)</f>
        <v>40.234567891234001</v>
      </c>
      <c r="H23" s="154">
        <f t="shared" si="0"/>
        <v>22</v>
      </c>
      <c r="I23" s="154" t="str">
        <f>+IF(VLOOKUP(A23,'Estado SCI'!$A$16:$G$59,7,0)="","",VLOOKUP(A23,'Estado SCI'!$A$16:$G$59,7,0))</f>
        <v>Si</v>
      </c>
      <c r="J23" s="155">
        <f t="shared" si="2"/>
        <v>1</v>
      </c>
      <c r="K23" s="156">
        <f t="shared" si="1"/>
        <v>0.85</v>
      </c>
    </row>
    <row r="24" spans="1:11" ht="15" customHeight="1" x14ac:dyDescent="0.25">
      <c r="A24" s="154" t="s">
        <v>167</v>
      </c>
      <c r="B24" s="154" t="str">
        <f>+VLOOKUP(A24,'Estado SCI'!$A$16:$C$59,3,0)</f>
        <v>ACTIVIDADES DE CONTROL</v>
      </c>
      <c r="C24" s="154" t="s">
        <v>87</v>
      </c>
      <c r="D24" s="154" t="s">
        <v>34</v>
      </c>
      <c r="E24" s="154" t="s">
        <v>80</v>
      </c>
      <c r="F24" s="154" t="str">
        <f>+VLOOKUP(A24,'Estado SCI'!$A$16:$I$59,9,0)</f>
        <v>Oportunidad de mejora</v>
      </c>
      <c r="G24" s="154">
        <f>+VLOOKUP(A24,'Estado SCI'!$A$16:$L$59,12,0)</f>
        <v>50.31</v>
      </c>
      <c r="H24" s="154">
        <f t="shared" si="0"/>
        <v>23</v>
      </c>
      <c r="I24" s="154" t="str">
        <f>+IF(VLOOKUP(A24,'Estado SCI'!$A$16:$G$59,7,0)="","",VLOOKUP(A24,'Estado SCI'!$A$16:$G$59,7,0))</f>
        <v>En proceso</v>
      </c>
      <c r="J24" s="155">
        <f t="shared" si="2"/>
        <v>0.5</v>
      </c>
      <c r="K24" s="156">
        <f t="shared" si="1"/>
        <v>0.7</v>
      </c>
    </row>
    <row r="25" spans="1:11" ht="15" customHeight="1" x14ac:dyDescent="0.25">
      <c r="A25" s="154" t="s">
        <v>168</v>
      </c>
      <c r="B25" s="154" t="s">
        <v>78</v>
      </c>
      <c r="C25" s="154" t="s">
        <v>87</v>
      </c>
      <c r="D25" s="154" t="s">
        <v>36</v>
      </c>
      <c r="E25" s="154" t="s">
        <v>81</v>
      </c>
      <c r="F25" s="154" t="str">
        <f>+VLOOKUP(A25,'Estado SCI'!$A$16:$I$59,9,0)</f>
        <v>Oportunidad de mejora</v>
      </c>
      <c r="G25" s="154">
        <f>+VLOOKUP(A25,'Estado SCI'!$A$16:$L$59,12,0)</f>
        <v>50.323</v>
      </c>
      <c r="H25" s="154">
        <f t="shared" si="0"/>
        <v>24</v>
      </c>
      <c r="I25" s="154" t="str">
        <f>+IF(VLOOKUP(A25,'Estado SCI'!$A$16:$G$59,7,0)="","",VLOOKUP(A25,'Estado SCI'!$A$16:$G$59,7,0))</f>
        <v>En proceso</v>
      </c>
      <c r="J25" s="155">
        <f t="shared" si="2"/>
        <v>0.5</v>
      </c>
      <c r="K25" s="156">
        <f t="shared" si="1"/>
        <v>0.7</v>
      </c>
    </row>
    <row r="26" spans="1:11" ht="15" customHeight="1" x14ac:dyDescent="0.25">
      <c r="A26" s="154" t="s">
        <v>169</v>
      </c>
      <c r="B26" s="154" t="s">
        <v>78</v>
      </c>
      <c r="C26" s="154" t="s">
        <v>87</v>
      </c>
      <c r="D26" s="154" t="s">
        <v>39</v>
      </c>
      <c r="E26" s="154" t="s">
        <v>82</v>
      </c>
      <c r="F26" s="154" t="str">
        <f>+VLOOKUP(A26,'Estado SCI'!$A$16:$I$59,9,0)</f>
        <v>Oportunidad de mejora</v>
      </c>
      <c r="G26" s="154">
        <f>+VLOOKUP(A26,'Estado SCI'!$A$16:$L$59,12,0)</f>
        <v>50.323999999999998</v>
      </c>
      <c r="H26" s="154">
        <f t="shared" si="0"/>
        <v>25</v>
      </c>
      <c r="I26" s="154" t="str">
        <f>+IF(VLOOKUP(A26,'Estado SCI'!$A$16:$G$59,7,0)="","",VLOOKUP(A26,'Estado SCI'!$A$16:$G$59,7,0))</f>
        <v>En proceso</v>
      </c>
      <c r="J26" s="155">
        <f t="shared" si="2"/>
        <v>0.5</v>
      </c>
      <c r="K26" s="156">
        <f t="shared" si="1"/>
        <v>0.7</v>
      </c>
    </row>
    <row r="27" spans="1:11" ht="15.75" customHeight="1" x14ac:dyDescent="0.25">
      <c r="A27" s="154" t="s">
        <v>170</v>
      </c>
      <c r="B27" s="154" t="s">
        <v>78</v>
      </c>
      <c r="C27" s="154" t="s">
        <v>87</v>
      </c>
      <c r="D27" s="154" t="s">
        <v>41</v>
      </c>
      <c r="E27" s="154" t="s">
        <v>83</v>
      </c>
      <c r="F27" s="154" t="str">
        <f>+VLOOKUP(A27,'Estado SCI'!$A$16:$I$59,9,0)</f>
        <v>Mantenimiento del control</v>
      </c>
      <c r="G27" s="154">
        <f>+VLOOKUP(A27,'Estado SCI'!$A$16:$L$59,12,0)</f>
        <v>60.325000000000003</v>
      </c>
      <c r="H27" s="154">
        <f t="shared" si="0"/>
        <v>26</v>
      </c>
      <c r="I27" s="154" t="str">
        <f>+IF(VLOOKUP(A27,'Estado SCI'!$A$16:$G$59,7,0)="","",VLOOKUP(A27,'Estado SCI'!$A$16:$G$59,7,0))</f>
        <v>Si</v>
      </c>
      <c r="J27" s="155">
        <f t="shared" si="2"/>
        <v>1</v>
      </c>
      <c r="K27" s="156">
        <f t="shared" si="1"/>
        <v>0.7</v>
      </c>
    </row>
    <row r="28" spans="1:11" ht="15" customHeight="1" x14ac:dyDescent="0.25">
      <c r="A28" s="154" t="s">
        <v>171</v>
      </c>
      <c r="B28" s="154" t="s">
        <v>78</v>
      </c>
      <c r="C28" s="154" t="s">
        <v>97</v>
      </c>
      <c r="D28" s="154" t="s">
        <v>43</v>
      </c>
      <c r="E28" s="154" t="s">
        <v>84</v>
      </c>
      <c r="F28" s="154" t="str">
        <f>+VLOOKUP(A28,'Estado SCI'!$A$16:$I$59,9,0)</f>
        <v>Mantenimiento del control</v>
      </c>
      <c r="G28" s="154">
        <f>+VLOOKUP(A28,'Estado SCI'!$A$16:$L$59,12,0)</f>
        <v>60.326000000000001</v>
      </c>
      <c r="H28" s="154">
        <f t="shared" si="0"/>
        <v>27</v>
      </c>
      <c r="I28" s="154" t="str">
        <f>+IF(VLOOKUP(A28,'Estado SCI'!$A$16:$G$59,7,0)="","",VLOOKUP(A28,'Estado SCI'!$A$16:$G$59,7,0))</f>
        <v>Si</v>
      </c>
      <c r="J28" s="155">
        <f t="shared" si="2"/>
        <v>1</v>
      </c>
      <c r="K28" s="156">
        <f t="shared" si="1"/>
        <v>0.7</v>
      </c>
    </row>
    <row r="29" spans="1:11" ht="15" customHeight="1" x14ac:dyDescent="0.25">
      <c r="A29" s="154" t="s">
        <v>172</v>
      </c>
      <c r="B29" s="154" t="str">
        <f>+VLOOKUP(A29,'Estado SCI'!$A$16:$C$59,3,0)</f>
        <v>INFORMACION Y COMUNICACIÓN</v>
      </c>
      <c r="C29" s="154" t="s">
        <v>97</v>
      </c>
      <c r="D29" s="154" t="s">
        <v>34</v>
      </c>
      <c r="E29" s="154" t="s">
        <v>88</v>
      </c>
      <c r="F29" s="154" t="str">
        <f>+VLOOKUP(A29,'Estado SCI'!$A$16:$I$59,9,0)</f>
        <v>Mantenimiento del control</v>
      </c>
      <c r="G29" s="154">
        <f>+VLOOKUP(A29,'Estado SCI'!$A$16:$L$59,12,0)</f>
        <v>80.412000000000006</v>
      </c>
      <c r="H29" s="154">
        <f t="shared" si="0"/>
        <v>30</v>
      </c>
      <c r="I29" s="154" t="str">
        <f>+IF(VLOOKUP(A29,'Estado SCI'!$A$16:$G$59,7,0)="","",VLOOKUP(A29,'Estado SCI'!$A$16:$G$59,7,0))</f>
        <v>Si</v>
      </c>
      <c r="J29" s="155">
        <f t="shared" si="2"/>
        <v>1</v>
      </c>
      <c r="K29" s="156">
        <f t="shared" si="1"/>
        <v>0.8571428571428571</v>
      </c>
    </row>
    <row r="30" spans="1:11" ht="15" customHeight="1" x14ac:dyDescent="0.25">
      <c r="A30" s="154" t="s">
        <v>173</v>
      </c>
      <c r="B30" s="154" t="s">
        <v>86</v>
      </c>
      <c r="C30" s="154" t="s">
        <v>97</v>
      </c>
      <c r="D30" s="154" t="s">
        <v>36</v>
      </c>
      <c r="E30" s="154" t="s">
        <v>89</v>
      </c>
      <c r="F30" s="154" t="str">
        <f>+VLOOKUP(A30,'Estado SCI'!$A$16:$I$59,9,0)</f>
        <v>Mantenimiento del control</v>
      </c>
      <c r="G30" s="154">
        <f>+VLOOKUP(A30,'Estado SCI'!$A$16:$L$59,12,0)</f>
        <v>80.412300000000002</v>
      </c>
      <c r="H30" s="154">
        <f t="shared" si="0"/>
        <v>31</v>
      </c>
      <c r="I30" s="154" t="str">
        <f>+IF(VLOOKUP(A30,'Estado SCI'!$A$16:$G$59,7,0)="","",VLOOKUP(A30,'Estado SCI'!$A$16:$G$59,7,0))</f>
        <v>Si</v>
      </c>
      <c r="J30" s="155">
        <f t="shared" si="2"/>
        <v>1</v>
      </c>
      <c r="K30" s="156">
        <f t="shared" si="1"/>
        <v>0.8571428571428571</v>
      </c>
    </row>
    <row r="31" spans="1:11" ht="15.75" customHeight="1" x14ac:dyDescent="0.25">
      <c r="A31" s="154" t="s">
        <v>174</v>
      </c>
      <c r="B31" s="154" t="s">
        <v>86</v>
      </c>
      <c r="C31" s="154" t="s">
        <v>97</v>
      </c>
      <c r="D31" s="154" t="s">
        <v>39</v>
      </c>
      <c r="E31" s="154" t="s">
        <v>90</v>
      </c>
      <c r="F31" s="154" t="str">
        <f>+VLOOKUP(A31,'Estado SCI'!$A$16:$I$59,9,0)</f>
        <v>Mantenimiento del control</v>
      </c>
      <c r="G31" s="154">
        <f>+VLOOKUP(A31,'Estado SCI'!$A$16:$L$59,12,0)</f>
        <v>80.41234</v>
      </c>
      <c r="H31" s="154">
        <f t="shared" si="0"/>
        <v>32</v>
      </c>
      <c r="I31" s="154" t="str">
        <f>+IF(VLOOKUP(A31,'Estado SCI'!$A$16:$G$59,7,0)="","",VLOOKUP(A31,'Estado SCI'!$A$16:$G$59,7,0))</f>
        <v>Si</v>
      </c>
      <c r="J31" s="155">
        <f t="shared" si="2"/>
        <v>1</v>
      </c>
      <c r="K31" s="156">
        <f t="shared" si="1"/>
        <v>0.8571428571428571</v>
      </c>
    </row>
    <row r="32" spans="1:11" x14ac:dyDescent="0.25">
      <c r="A32" s="154" t="s">
        <v>175</v>
      </c>
      <c r="B32" s="154" t="s">
        <v>86</v>
      </c>
      <c r="C32" s="154" t="s">
        <v>103</v>
      </c>
      <c r="D32" s="154" t="s">
        <v>41</v>
      </c>
      <c r="E32" s="154" t="s">
        <v>91</v>
      </c>
      <c r="F32" s="154" t="str">
        <f>+VLOOKUP(A32,'Estado SCI'!$A$16:$I$59,9,0)</f>
        <v>Mantenimiento del control</v>
      </c>
      <c r="G32" s="154">
        <f>+VLOOKUP(A32,'Estado SCI'!$A$16:$L$59,12,0)</f>
        <v>80.412345000000002</v>
      </c>
      <c r="H32" s="154">
        <f t="shared" si="0"/>
        <v>33</v>
      </c>
      <c r="I32" s="154" t="str">
        <f>+IF(VLOOKUP(A32,'Estado SCI'!$A$16:$G$59,7,0)="","",VLOOKUP(A32,'Estado SCI'!$A$16:$G$59,7,0))</f>
        <v>Si</v>
      </c>
      <c r="J32" s="155">
        <f t="shared" si="2"/>
        <v>1</v>
      </c>
      <c r="K32" s="156">
        <f t="shared" si="1"/>
        <v>0.8571428571428571</v>
      </c>
    </row>
    <row r="33" spans="1:11" x14ac:dyDescent="0.25">
      <c r="A33" s="154" t="s">
        <v>176</v>
      </c>
      <c r="B33" s="154" t="s">
        <v>86</v>
      </c>
      <c r="C33" s="154" t="s">
        <v>177</v>
      </c>
      <c r="D33" s="154" t="s">
        <v>43</v>
      </c>
      <c r="E33" s="154" t="s">
        <v>92</v>
      </c>
      <c r="F33" s="154" t="str">
        <f>+VLOOKUP(A33,'Estado SCI'!$A$16:$I$59,9,0)</f>
        <v>Oportunidad de mejora</v>
      </c>
      <c r="G33" s="154">
        <f>+VLOOKUP(A33,'Estado SCI'!$A$16:$L$59,12,0)</f>
        <v>70.412345599999995</v>
      </c>
      <c r="H33" s="154">
        <f t="shared" si="0"/>
        <v>28</v>
      </c>
      <c r="I33" s="154" t="str">
        <f>+IF(VLOOKUP(A33,'Estado SCI'!$A$16:$G$59,7,0)="","",VLOOKUP(A33,'Estado SCI'!$A$16:$G$59,7,0))</f>
        <v>En proceso</v>
      </c>
      <c r="J33" s="155">
        <f t="shared" si="2"/>
        <v>0.5</v>
      </c>
      <c r="K33" s="156">
        <f t="shared" si="1"/>
        <v>0.8571428571428571</v>
      </c>
    </row>
    <row r="34" spans="1:11" x14ac:dyDescent="0.25">
      <c r="A34" s="154" t="s">
        <v>178</v>
      </c>
      <c r="B34" s="154" t="s">
        <v>86</v>
      </c>
      <c r="C34" s="154" t="s">
        <v>177</v>
      </c>
      <c r="D34" s="154" t="s">
        <v>45</v>
      </c>
      <c r="E34" s="154" t="s">
        <v>93</v>
      </c>
      <c r="F34" s="154" t="str">
        <f>+VLOOKUP(A34,'Estado SCI'!$A$16:$I$59,9,0)</f>
        <v>Oportunidad de mejora</v>
      </c>
      <c r="G34" s="154">
        <f>+VLOOKUP(A34,'Estado SCI'!$A$16:$L$59,12,0)</f>
        <v>70.412345669999993</v>
      </c>
      <c r="H34" s="154">
        <f t="shared" si="0"/>
        <v>29</v>
      </c>
      <c r="I34" s="154" t="str">
        <f>+IF(VLOOKUP(A34,'Estado SCI'!$A$16:$G$59,7,0)="","",VLOOKUP(A34,'Estado SCI'!$A$16:$G$59,7,0))</f>
        <v>En proceso</v>
      </c>
      <c r="J34" s="155">
        <f t="shared" si="2"/>
        <v>0.5</v>
      </c>
      <c r="K34" s="156">
        <f t="shared" si="1"/>
        <v>0.8571428571428571</v>
      </c>
    </row>
    <row r="35" spans="1:11" x14ac:dyDescent="0.25">
      <c r="A35" s="154" t="s">
        <v>179</v>
      </c>
      <c r="B35" s="154" t="s">
        <v>86</v>
      </c>
      <c r="C35" s="154" t="s">
        <v>177</v>
      </c>
      <c r="D35" s="154" t="s">
        <v>47</v>
      </c>
      <c r="E35" s="154" t="s">
        <v>94</v>
      </c>
      <c r="F35" s="154" t="str">
        <f>+VLOOKUP(A35,'Estado SCI'!$A$16:$I$59,9,0)</f>
        <v>Mantenimiento del control</v>
      </c>
      <c r="G35" s="154">
        <f>+VLOOKUP(A35,'Estado SCI'!$A$16:$L$59,12,0)</f>
        <v>80.412345677999994</v>
      </c>
      <c r="H35" s="154">
        <f t="shared" si="0"/>
        <v>34</v>
      </c>
      <c r="I35" s="154" t="str">
        <f>+IF(VLOOKUP(A35,'Estado SCI'!$A$16:$G$59,7,0)="","",VLOOKUP(A35,'Estado SCI'!$A$16:$G$59,7,0))</f>
        <v>Si</v>
      </c>
      <c r="J35" s="155">
        <f t="shared" si="2"/>
        <v>1</v>
      </c>
      <c r="K35" s="156">
        <f t="shared" si="1"/>
        <v>0.8571428571428571</v>
      </c>
    </row>
    <row r="36" spans="1:11" x14ac:dyDescent="0.25">
      <c r="A36" s="154" t="s">
        <v>180</v>
      </c>
      <c r="B36" s="154" t="str">
        <f>+VLOOKUP(A36,'Estado SCI'!$A$16:$C$59,3,0)</f>
        <v>ACTIVIDADES DE MONITOREO</v>
      </c>
      <c r="C36" s="154" t="s">
        <v>177</v>
      </c>
      <c r="D36" s="154" t="s">
        <v>34</v>
      </c>
      <c r="E36" s="154" t="s">
        <v>98</v>
      </c>
      <c r="F36" s="154" t="str">
        <f>+VLOOKUP(A36,'Estado SCI'!$A$16:$I$59,9,0)</f>
        <v>Mantenimiento del control</v>
      </c>
      <c r="G36" s="154">
        <f>+VLOOKUP(A36,'Estado SCI'!$A$16:$L$59,12,0)</f>
        <v>120.851</v>
      </c>
      <c r="H36" s="154">
        <f t="shared" si="0"/>
        <v>38</v>
      </c>
      <c r="I36" s="154" t="str">
        <f>+IF(VLOOKUP(A36,'Estado SCI'!$A$16:$G$59,7,0)="","",VLOOKUP(A36,'Estado SCI'!$A$16:$G$59,7,0))</f>
        <v>Si</v>
      </c>
      <c r="J36" s="155">
        <f t="shared" si="2"/>
        <v>1</v>
      </c>
      <c r="K36" s="156">
        <f t="shared" si="1"/>
        <v>0.85</v>
      </c>
    </row>
    <row r="37" spans="1:11" x14ac:dyDescent="0.25">
      <c r="A37" s="154" t="s">
        <v>181</v>
      </c>
      <c r="B37" s="154" t="s">
        <v>96</v>
      </c>
      <c r="C37" s="154" t="s">
        <v>177</v>
      </c>
      <c r="D37" s="154" t="s">
        <v>41</v>
      </c>
      <c r="E37" s="154" t="s">
        <v>99</v>
      </c>
      <c r="F37" s="154" t="str">
        <f>+VLOOKUP(A37,'Estado SCI'!$A$16:$I$59,9,0)</f>
        <v>Mantenimiento del control</v>
      </c>
      <c r="G37" s="154">
        <f>+VLOOKUP(A37,'Estado SCI'!$A$16:$L$59,12,0)</f>
        <v>120.85120000000001</v>
      </c>
      <c r="H37" s="154">
        <f t="shared" si="0"/>
        <v>39</v>
      </c>
      <c r="I37" s="154" t="str">
        <f>+IF(VLOOKUP(A37,'Estado SCI'!$A$16:$G$59,7,0)="","",VLOOKUP(A37,'Estado SCI'!$A$16:$G$59,7,0))</f>
        <v>Si</v>
      </c>
      <c r="J37" s="155">
        <f t="shared" si="2"/>
        <v>1</v>
      </c>
      <c r="K37" s="156">
        <f t="shared" si="1"/>
        <v>0.85</v>
      </c>
    </row>
    <row r="38" spans="1:11" x14ac:dyDescent="0.25">
      <c r="A38" s="154" t="s">
        <v>182</v>
      </c>
      <c r="B38" s="154" t="s">
        <v>96</v>
      </c>
      <c r="C38" s="154" t="s">
        <v>67</v>
      </c>
      <c r="D38" s="154" t="s">
        <v>45</v>
      </c>
      <c r="E38" s="154" t="s">
        <v>100</v>
      </c>
      <c r="F38" s="154" t="str">
        <f>+VLOOKUP(A38,'Estado SCI'!$A$16:$I$59,9,0)</f>
        <v>Mantenimiento del control</v>
      </c>
      <c r="G38" s="154">
        <f>+VLOOKUP(A38,'Estado SCI'!$A$16:$L$59,12,0)</f>
        <v>120.85123</v>
      </c>
      <c r="H38" s="154">
        <f t="shared" si="0"/>
        <v>40</v>
      </c>
      <c r="I38" s="154" t="str">
        <f>+IF(VLOOKUP(A38,'Estado SCI'!$A$16:$G$59,7,0)="","",VLOOKUP(A38,'Estado SCI'!$A$16:$G$59,7,0))</f>
        <v>Si</v>
      </c>
      <c r="J38" s="155">
        <f t="shared" si="2"/>
        <v>1</v>
      </c>
      <c r="K38" s="156">
        <f t="shared" si="1"/>
        <v>0.85</v>
      </c>
    </row>
    <row r="39" spans="1:11" x14ac:dyDescent="0.25">
      <c r="A39" s="154" t="s">
        <v>183</v>
      </c>
      <c r="B39" s="154" t="s">
        <v>96</v>
      </c>
      <c r="C39" s="154" t="s">
        <v>67</v>
      </c>
      <c r="D39" s="154" t="s">
        <v>47</v>
      </c>
      <c r="E39" s="154" t="s">
        <v>101</v>
      </c>
      <c r="F39" s="154" t="str">
        <f>+VLOOKUP(A39,'Estado SCI'!$A$16:$I$59,9,0)</f>
        <v>Mantenimiento del control</v>
      </c>
      <c r="G39" s="154">
        <f>+VLOOKUP(A39,'Estado SCI'!$A$16:$L$59,12,0)</f>
        <v>120.85123400000001</v>
      </c>
      <c r="H39" s="154">
        <f t="shared" si="0"/>
        <v>41</v>
      </c>
      <c r="I39" s="154" t="str">
        <f>+IF(VLOOKUP(A39,'Estado SCI'!$A$16:$G$59,7,0)="","",VLOOKUP(A39,'Estado SCI'!$A$16:$G$59,7,0))</f>
        <v>Si</v>
      </c>
      <c r="J39" s="155">
        <f t="shared" si="2"/>
        <v>1</v>
      </c>
      <c r="K39" s="156">
        <f t="shared" si="1"/>
        <v>0.85</v>
      </c>
    </row>
    <row r="40" spans="1:11" x14ac:dyDescent="0.25">
      <c r="A40" s="154" t="s">
        <v>184</v>
      </c>
      <c r="B40" s="154" t="s">
        <v>96</v>
      </c>
      <c r="C40" s="154" t="s">
        <v>67</v>
      </c>
      <c r="D40" s="154" t="s">
        <v>49</v>
      </c>
      <c r="E40" s="154" t="s">
        <v>104</v>
      </c>
      <c r="F40" s="154" t="str">
        <f>+VLOOKUP(A40,'Estado SCI'!$A$16:$I$59,9,0)</f>
        <v>Mantenimiento del control</v>
      </c>
      <c r="G40" s="154">
        <f>+VLOOKUP(A40,'Estado SCI'!$A$16:$L$59,12,0)</f>
        <v>120.8512345</v>
      </c>
      <c r="H40" s="154">
        <f t="shared" si="0"/>
        <v>42</v>
      </c>
      <c r="I40" s="154" t="str">
        <f>+IF(VLOOKUP(A40,'Estado SCI'!$A$16:$G$59,7,0)="","",VLOOKUP(A40,'Estado SCI'!$A$16:$G$59,7,0))</f>
        <v>Si</v>
      </c>
      <c r="J40" s="155">
        <f t="shared" si="2"/>
        <v>1</v>
      </c>
      <c r="K40" s="156">
        <f t="shared" si="1"/>
        <v>0.85</v>
      </c>
    </row>
    <row r="41" spans="1:11" x14ac:dyDescent="0.25">
      <c r="A41" s="154" t="s">
        <v>185</v>
      </c>
      <c r="B41" s="154" t="s">
        <v>96</v>
      </c>
      <c r="C41" s="154" t="s">
        <v>67</v>
      </c>
      <c r="D41" s="154" t="s">
        <v>34</v>
      </c>
      <c r="E41" s="154" t="s">
        <v>107</v>
      </c>
      <c r="F41" s="154" t="str">
        <f>+VLOOKUP(A41,'Estado SCI'!$A$16:$I$59,9,0)</f>
        <v>Mantenimiento del control</v>
      </c>
      <c r="G41" s="154">
        <f>+VLOOKUP(A41,'Estado SCI'!$A$16:$L$59,12,0)</f>
        <v>120.85123455999999</v>
      </c>
      <c r="H41" s="154">
        <f t="shared" si="0"/>
        <v>43</v>
      </c>
      <c r="I41" s="154" t="str">
        <f>+IF(VLOOKUP(A41,'Estado SCI'!$A$16:$G$59,7,0)="","",VLOOKUP(A41,'Estado SCI'!$A$16:$G$59,7,0))</f>
        <v>Si</v>
      </c>
      <c r="J41" s="155">
        <f t="shared" si="2"/>
        <v>1</v>
      </c>
      <c r="K41" s="156">
        <f t="shared" si="1"/>
        <v>0.85</v>
      </c>
    </row>
    <row r="42" spans="1:11" x14ac:dyDescent="0.25">
      <c r="A42" s="154" t="s">
        <v>186</v>
      </c>
      <c r="B42" s="154" t="s">
        <v>96</v>
      </c>
      <c r="C42" s="154" t="s">
        <v>72</v>
      </c>
      <c r="D42" s="154" t="s">
        <v>36</v>
      </c>
      <c r="E42" s="154" t="s">
        <v>108</v>
      </c>
      <c r="F42" s="154" t="str">
        <f>+VLOOKUP(A42,'Estado SCI'!$A$16:$I$59,9,0)</f>
        <v>Oportunidad de mejora</v>
      </c>
      <c r="G42" s="154">
        <f>+VLOOKUP(A42,'Estado SCI'!$A$16:$L$59,12,0)</f>
        <v>100.85123456700001</v>
      </c>
      <c r="H42" s="154">
        <f t="shared" si="0"/>
        <v>35</v>
      </c>
      <c r="I42" s="154" t="str">
        <f>+IF(VLOOKUP(A42,'Estado SCI'!$A$16:$G$59,7,0)="","",VLOOKUP(A42,'Estado SCI'!$A$16:$G$59,7,0))</f>
        <v>En proceso</v>
      </c>
      <c r="J42" s="155">
        <f t="shared" si="2"/>
        <v>0.5</v>
      </c>
      <c r="K42" s="156">
        <f t="shared" si="1"/>
        <v>0.85</v>
      </c>
    </row>
    <row r="43" spans="1:11" x14ac:dyDescent="0.25">
      <c r="A43" s="154" t="s">
        <v>187</v>
      </c>
      <c r="B43" s="154" t="s">
        <v>96</v>
      </c>
      <c r="C43" s="154" t="s">
        <v>72</v>
      </c>
      <c r="D43" s="154" t="s">
        <v>39</v>
      </c>
      <c r="E43" s="154" t="s">
        <v>109</v>
      </c>
      <c r="F43" s="154" t="str">
        <f>+VLOOKUP(A43,'Estado SCI'!$A$16:$I$59,9,0)</f>
        <v>Oportunidad de mejora</v>
      </c>
      <c r="G43" s="154">
        <f>+VLOOKUP(A43,'Estado SCI'!$A$16:$L$59,12,0)</f>
        <v>100.85123456780001</v>
      </c>
      <c r="H43" s="154">
        <f t="shared" si="0"/>
        <v>36</v>
      </c>
      <c r="I43" s="154" t="str">
        <f>+IF(VLOOKUP(A43,'Estado SCI'!$A$16:$G$59,7,0)="","",VLOOKUP(A43,'Estado SCI'!$A$16:$G$59,7,0))</f>
        <v>En proceso</v>
      </c>
      <c r="J43" s="155">
        <f t="shared" si="2"/>
        <v>0.5</v>
      </c>
      <c r="K43" s="156">
        <f t="shared" si="1"/>
        <v>0.85</v>
      </c>
    </row>
    <row r="44" spans="1:11" x14ac:dyDescent="0.25">
      <c r="A44" s="154" t="s">
        <v>188</v>
      </c>
      <c r="B44" s="154" t="s">
        <v>96</v>
      </c>
      <c r="C44" s="154" t="s">
        <v>72</v>
      </c>
      <c r="D44" s="154" t="s">
        <v>41</v>
      </c>
      <c r="E44" s="154" t="s">
        <v>110</v>
      </c>
      <c r="F44" s="154" t="str">
        <f>+VLOOKUP(A44,'Estado SCI'!$A$16:$I$59,9,0)</f>
        <v>Mantenimiento del control</v>
      </c>
      <c r="G44" s="154">
        <f>+VLOOKUP(A44,'Estado SCI'!$A$16:$L$59,12,0)</f>
        <v>120.85123456789</v>
      </c>
      <c r="H44" s="154">
        <f t="shared" si="0"/>
        <v>44</v>
      </c>
      <c r="I44" s="154" t="str">
        <f>+IF(VLOOKUP(A44,'Estado SCI'!$A$16:$G$59,7,0)="","",VLOOKUP(A44,'Estado SCI'!$A$16:$G$59,7,0))</f>
        <v>Si</v>
      </c>
      <c r="J44" s="155">
        <f t="shared" si="2"/>
        <v>1</v>
      </c>
      <c r="K44" s="156">
        <f t="shared" si="1"/>
        <v>0.85</v>
      </c>
    </row>
    <row r="45" spans="1:11" x14ac:dyDescent="0.25">
      <c r="A45" s="154" t="s">
        <v>189</v>
      </c>
      <c r="B45" s="154" t="s">
        <v>96</v>
      </c>
      <c r="C45" s="154" t="s">
        <v>72</v>
      </c>
      <c r="D45" s="154" t="s">
        <v>43</v>
      </c>
      <c r="E45" s="154" t="s">
        <v>111</v>
      </c>
      <c r="F45" s="154" t="str">
        <f>+VLOOKUP(A45,'Estado SCI'!$A$16:$I$59,9,0)</f>
        <v>Oportunidad de mejora</v>
      </c>
      <c r="G45" s="154">
        <f>+VLOOKUP(A45,'Estado SCI'!$A$16:$L$59,12,0)</f>
        <v>100.851234567891</v>
      </c>
      <c r="H45" s="154">
        <f t="shared" si="0"/>
        <v>37</v>
      </c>
      <c r="I45" s="154" t="str">
        <f>+IF(VLOOKUP(A45,'Estado SCI'!$A$16:$G$59,7,0)="","",VLOOKUP(A45,'Estado SCI'!$A$16:$G$59,7,0))</f>
        <v>En proceso</v>
      </c>
      <c r="J45" s="155">
        <f t="shared" si="2"/>
        <v>0.5</v>
      </c>
      <c r="K45" s="156">
        <f t="shared" si="1"/>
        <v>0.85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Instructivo</vt:lpstr>
      <vt:lpstr>Estado SCI</vt:lpstr>
      <vt:lpstr>Análisis Resultados</vt:lpstr>
      <vt:lpstr>Conclusión</vt:lpstr>
      <vt:lpstr>Hoja1</vt:lpstr>
      <vt:lpstr>'Análisis Resultados'!Área_de_impresión</vt:lpstr>
      <vt:lpstr>Conclusión!Área_de_impresión</vt:lpstr>
      <vt:lpstr>'Estado SCI'!Títulos_a_imprimir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Control Interno</cp:lastModifiedBy>
  <cp:revision/>
  <cp:lastPrinted>2024-02-01T16:27:30Z</cp:lastPrinted>
  <dcterms:created xsi:type="dcterms:W3CDTF">2020-04-28T13:58:09Z</dcterms:created>
  <dcterms:modified xsi:type="dcterms:W3CDTF">2024-02-01T16:33:23Z</dcterms:modified>
  <cp:category/>
  <cp:contentStatus/>
</cp:coreProperties>
</file>